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4"/>
  </bookViews>
  <sheets>
    <sheet name="production loss &amp; total costs" sheetId="1" r:id="rId1"/>
    <sheet name="trainers cost" sheetId="2" r:id="rId2"/>
    <sheet name="biomonitoring " sheetId="3" r:id="rId3"/>
    <sheet name="DU CSR" sheetId="4" r:id="rId4"/>
    <sheet name="Proportionality" sheetId="5" r:id="rId5"/>
    <sheet name="discounting" sheetId="6" r:id="rId6"/>
    <sheet name="inflation correction" sheetId="7" r:id="rId7"/>
  </sheets>
  <definedNames/>
  <calcPr fullCalcOnLoad="1"/>
</workbook>
</file>

<file path=xl/sharedStrings.xml><?xml version="1.0" encoding="utf-8"?>
<sst xmlns="http://schemas.openxmlformats.org/spreadsheetml/2006/main" count="522" uniqueCount="133">
  <si>
    <t>Annual detailed enterprise statistics for industry (NACE Rev. 2, B-E) [sbs_na_ind_r2]</t>
  </si>
  <si>
    <t>Last update</t>
  </si>
  <si>
    <t>Extracted on</t>
  </si>
  <si>
    <t>Source of data</t>
  </si>
  <si>
    <t>Eurostat</t>
  </si>
  <si>
    <t>NACE_R2</t>
  </si>
  <si>
    <t>Manufacture of chemicals and chemical products</t>
  </si>
  <si>
    <t>INDIC_SB</t>
  </si>
  <si>
    <t>Gross value added per employee - thousand euro</t>
  </si>
  <si>
    <t>GEO/TIME</t>
  </si>
  <si>
    <t>2016</t>
  </si>
  <si>
    <t>2017</t>
  </si>
  <si>
    <t>2018</t>
  </si>
  <si>
    <t>2019</t>
  </si>
  <si>
    <t>2020</t>
  </si>
  <si>
    <t>European Union - 27 countries (from 2020)</t>
  </si>
  <si>
    <t>European Union - 28 countries (2013-2020)</t>
  </si>
  <si>
    <t>:</t>
  </si>
  <si>
    <t>Special value:</t>
  </si>
  <si>
    <t>not available</t>
  </si>
  <si>
    <t>Manufacture of other organic basic chemicals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</si>
  <si>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</si>
  <si>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</si>
  <si>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</t>
  </si>
  <si>
    <t>Manufacture of man-made fibres</t>
  </si>
  <si>
    <t>Manufacture of basic pharmaceutical products and pharmaceutical preparations</t>
  </si>
  <si>
    <t>Treatment and coating of metals; machining</t>
  </si>
  <si>
    <t>Treatment and coating of metals</t>
  </si>
  <si>
    <t>Manufacture of electrical equipment</t>
  </si>
  <si>
    <t>Manufacture of medical and dental instruments and supplies</t>
  </si>
  <si>
    <t>Formulation:</t>
  </si>
  <si>
    <t>Sector</t>
  </si>
  <si>
    <t>Productivity loss costs</t>
  </si>
  <si>
    <t>Number of working days</t>
  </si>
  <si>
    <t>Number of hours/year</t>
  </si>
  <si>
    <t>Use as solvent in the production of agrochemicals, pharmaceuticals and fine chemicals</t>
  </si>
  <si>
    <t>Use as solvent in the production of man-made fibers</t>
  </si>
  <si>
    <t>Use as solvent in coatings (wire coaters)</t>
  </si>
  <si>
    <t>Use as solvent in coatings (other)</t>
  </si>
  <si>
    <t>Binder and release agent</t>
  </si>
  <si>
    <t>Cleaning agents</t>
  </si>
  <si>
    <t>min</t>
  </si>
  <si>
    <t>max</t>
  </si>
  <si>
    <t>Use as solvent in the production of polysulphone  membranes</t>
  </si>
  <si>
    <t>Manufacture of other chemical products</t>
  </si>
  <si>
    <t>Time investment for trainer</t>
  </si>
  <si>
    <t>Hours of training per employee</t>
  </si>
  <si>
    <t>Estimate of trainers cost</t>
  </si>
  <si>
    <t>Annual detailed enterprise statistics for services (NACE Rev. 2 H-N and S95) [sbs_na_1a_se_r2]</t>
  </si>
  <si>
    <t>Professional, scientific and technical activities</t>
  </si>
  <si>
    <t>Turnover per person employed - thousand euro</t>
  </si>
  <si>
    <t>Average EU-27 hour fee</t>
  </si>
  <si>
    <t>Management consultancy activities</t>
  </si>
  <si>
    <t>Engineering activities and related technical consultancy</t>
  </si>
  <si>
    <t>Other professional, scientific and technical activities</t>
  </si>
  <si>
    <t>Other professional, scientific and technical activities n.e.c.</t>
  </si>
  <si>
    <t>Group size training</t>
  </si>
  <si>
    <t>Trainingscost per worker</t>
  </si>
  <si>
    <t>mean</t>
  </si>
  <si>
    <t>Number of measurements per worker per year</t>
  </si>
  <si>
    <t>Analysis costs per sample (euro)</t>
  </si>
  <si>
    <t>Consultant time spent on measurement days (hours)</t>
  </si>
  <si>
    <t>Consultant preparatory work (hours)</t>
  </si>
  <si>
    <t>Consultant time spent  for analysis and reporting (hours)</t>
  </si>
  <si>
    <t xml:space="preserve">Group size </t>
  </si>
  <si>
    <t xml:space="preserve">min </t>
  </si>
  <si>
    <t>Average hourly rate consultant</t>
  </si>
  <si>
    <t>Biomonitoring costs per worker/year</t>
  </si>
  <si>
    <t>average</t>
  </si>
  <si>
    <t>DU CSR</t>
  </si>
  <si>
    <t>number of ES</t>
  </si>
  <si>
    <t>Risk characterisation and reporting</t>
  </si>
  <si>
    <t>Preperation and site visit (hours)</t>
  </si>
  <si>
    <t>Time per exposure scenario (higher tiers) (hours)</t>
  </si>
  <si>
    <t>Time per exposure scenario (measurments) (hours)</t>
  </si>
  <si>
    <t>Hourly costs</t>
  </si>
  <si>
    <t>DU CSR is prepared based on higher tier models (euro)</t>
  </si>
  <si>
    <t>DU CSR is prepared based on measurements (euro)</t>
  </si>
  <si>
    <t>Proportionality assessment</t>
  </si>
  <si>
    <t>NMP benchmark</t>
  </si>
  <si>
    <t xml:space="preserve">Sector </t>
  </si>
  <si>
    <t>Workers</t>
  </si>
  <si>
    <t>Source</t>
  </si>
  <si>
    <t>Confidential BD dossier NMP</t>
  </si>
  <si>
    <t xml:space="preserve">NMP final opinion </t>
  </si>
  <si>
    <t>Cost/worker (PV euros over 15 years)</t>
  </si>
  <si>
    <t>Discount rate</t>
  </si>
  <si>
    <t>Formulation</t>
  </si>
  <si>
    <t>Use as solvent in the production of man-made fibres</t>
  </si>
  <si>
    <t>frequency (every x years)</t>
  </si>
  <si>
    <t>Discounting</t>
  </si>
  <si>
    <t>Trainingscost</t>
  </si>
  <si>
    <t>Period</t>
  </si>
  <si>
    <t xml:space="preserve">Discount rate </t>
  </si>
  <si>
    <t>MIN</t>
  </si>
  <si>
    <t>Discount factor</t>
  </si>
  <si>
    <t>MAX</t>
  </si>
  <si>
    <t>DMAC-NEP</t>
  </si>
  <si>
    <t>Biomonitoring</t>
  </si>
  <si>
    <t>Min</t>
  </si>
  <si>
    <t>Max</t>
  </si>
  <si>
    <t>All other sectors</t>
  </si>
  <si>
    <t>number of workers per company</t>
  </si>
  <si>
    <t xml:space="preserve">Trainings costs </t>
  </si>
  <si>
    <t>Costs (euro/worker)</t>
  </si>
  <si>
    <t>Costs (euro/worker/year)</t>
  </si>
  <si>
    <t xml:space="preserve">Biomonitoring </t>
  </si>
  <si>
    <t xml:space="preserve">Preparation of DU CSR </t>
  </si>
  <si>
    <t>Euro</t>
  </si>
  <si>
    <t xml:space="preserve">NMP-Automotive </t>
  </si>
  <si>
    <t>NMP-Wire coaters</t>
  </si>
  <si>
    <t>All measures combined</t>
  </si>
  <si>
    <t>inflation correction</t>
  </si>
  <si>
    <t>GDP and main components (output, expenditure and income) [nama_10_gdp]</t>
  </si>
  <si>
    <t>UNIT</t>
  </si>
  <si>
    <t>Price index (implicit deflator), 2015=100, euro</t>
  </si>
  <si>
    <t>NA_ITEM</t>
  </si>
  <si>
    <t>Gross domestic product at market prices</t>
  </si>
  <si>
    <t>2014</t>
  </si>
  <si>
    <t>2015</t>
  </si>
  <si>
    <t>2021</t>
  </si>
  <si>
    <t>Inflation correction 2019 to 2021</t>
  </si>
  <si>
    <t>inflation corrected 2021</t>
  </si>
  <si>
    <t>Inflation correction for 2021 (factor)</t>
  </si>
  <si>
    <t>Inflation correction from 2014 to 2021</t>
  </si>
  <si>
    <t>Hours of productivity loss per worker per year</t>
  </si>
  <si>
    <t>Original costs (PV millions over 15 years)</t>
  </si>
  <si>
    <t>Inflation corrected</t>
  </si>
  <si>
    <t>Cheaper if in house expertise is used (fraction from mean)</t>
  </si>
  <si>
    <t>Costs in case of in house expertise</t>
  </si>
  <si>
    <t>Fraction of costs in case of in house expertise</t>
  </si>
  <si>
    <t>confidential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</si>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</sst>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#,##0.000"/>
    <numFmt numFmtId="188" formatCode="0.0"/>
    <numFmt numFmtId="189" formatCode="[$-413]dddd\ d\ mmmm\ yyyy"/>
    <numFmt numFmtId="190" formatCode="0.0000"/>
  </numFmts>
  <fonts count="48">
    <font>
      <sz val="11"/>
      <name val="Arial"/>
      <family val="0"/>
    </font>
    <font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186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187" fontId="1" fillId="0" borderId="10" xfId="0" applyNumberFormat="1" applyFont="1" applyBorder="1" applyAlignment="1">
      <alignment/>
    </xf>
    <xf numFmtId="187" fontId="0" fillId="0" borderId="0" xfId="0" applyNumberFormat="1" applyAlignment="1">
      <alignment/>
    </xf>
    <xf numFmtId="0" fontId="5" fillId="33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1" fontId="47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zoomScale="80" zoomScaleNormal="80" zoomScalePageLayoutView="0" workbookViewId="0" topLeftCell="A1">
      <selection activeCell="N5" sqref="N5"/>
    </sheetView>
  </sheetViews>
  <sheetFormatPr defaultColWidth="9.00390625" defaultRowHeight="14.25"/>
  <cols>
    <col min="1" max="1" width="63.625" style="0" bestFit="1" customWidth="1"/>
    <col min="9" max="9" width="34.625" style="10" customWidth="1"/>
    <col min="10" max="10" width="19.375" style="8" bestFit="1" customWidth="1"/>
    <col min="11" max="11" width="11.00390625" style="8" customWidth="1"/>
    <col min="12" max="12" width="10.75390625" style="0" customWidth="1"/>
    <col min="13" max="13" width="10.75390625" style="8" customWidth="1"/>
    <col min="14" max="14" width="17.125" style="21" customWidth="1"/>
    <col min="15" max="15" width="26.125" style="0" bestFit="1" customWidth="1"/>
  </cols>
  <sheetData>
    <row r="1" spans="1:18" ht="13.5">
      <c r="A1" s="1" t="s">
        <v>0</v>
      </c>
      <c r="Q1" t="s">
        <v>41</v>
      </c>
      <c r="R1" t="s">
        <v>42</v>
      </c>
    </row>
    <row r="2" spans="15:18" ht="13.5">
      <c r="O2" t="s">
        <v>45</v>
      </c>
      <c r="Q2">
        <v>8</v>
      </c>
      <c r="R2">
        <v>16</v>
      </c>
    </row>
    <row r="3" spans="1:18" ht="13.5">
      <c r="A3" s="1" t="s">
        <v>1</v>
      </c>
      <c r="B3" s="2">
        <v>44620.68821759259</v>
      </c>
      <c r="O3" t="s">
        <v>46</v>
      </c>
      <c r="Q3">
        <v>1</v>
      </c>
      <c r="R3">
        <v>4</v>
      </c>
    </row>
    <row r="4" spans="1:16" ht="13.5">
      <c r="A4" s="1" t="s">
        <v>2</v>
      </c>
      <c r="B4" s="2">
        <v>44626.72368236112</v>
      </c>
      <c r="K4" s="19" t="s">
        <v>57</v>
      </c>
      <c r="O4" t="s">
        <v>56</v>
      </c>
      <c r="P4">
        <v>20</v>
      </c>
    </row>
    <row r="5" spans="1:16" ht="13.5">
      <c r="A5" s="1" t="s">
        <v>3</v>
      </c>
      <c r="B5" s="1" t="s">
        <v>4</v>
      </c>
      <c r="I5" s="10" t="s">
        <v>31</v>
      </c>
      <c r="J5" s="9" t="s">
        <v>32</v>
      </c>
      <c r="K5" s="35" t="s">
        <v>41</v>
      </c>
      <c r="L5" s="20" t="s">
        <v>42</v>
      </c>
      <c r="M5" s="35" t="s">
        <v>58</v>
      </c>
      <c r="N5" s="33"/>
      <c r="O5" t="s">
        <v>47</v>
      </c>
      <c r="P5" s="8">
        <f>'trainers cost'!I9</f>
        <v>55.94778740299586</v>
      </c>
    </row>
    <row r="6" spans="14:16" ht="54">
      <c r="N6" s="34" t="s">
        <v>128</v>
      </c>
      <c r="O6" s="7" t="s">
        <v>33</v>
      </c>
      <c r="P6">
        <f>'trainers cost'!I7</f>
        <v>250</v>
      </c>
    </row>
    <row r="7" spans="1:16" ht="13.5">
      <c r="A7" s="1" t="s">
        <v>5</v>
      </c>
      <c r="B7" s="1" t="s">
        <v>6</v>
      </c>
      <c r="I7" s="18" t="s">
        <v>30</v>
      </c>
      <c r="J7" s="19">
        <f>((G11+G21)/2)*1000/P7</f>
        <v>84.5898586245011</v>
      </c>
      <c r="K7" s="19">
        <f>($Q$3*J7)+((1/$P$4)*$Q$2*$P$5)</f>
        <v>106.96897358569944</v>
      </c>
      <c r="L7" s="19">
        <f>($R$3*J7)+((1/$P$4)*$R$2*$P$5)</f>
        <v>383.1176644204011</v>
      </c>
      <c r="M7" s="19">
        <f>AVERAGE(K7:L7)</f>
        <v>245.04331900305027</v>
      </c>
      <c r="N7" s="21">
        <f>1-((2.5*J7)/M7)</f>
        <v>0.13699076791144693</v>
      </c>
      <c r="O7" s="7" t="s">
        <v>34</v>
      </c>
      <c r="P7">
        <f>P6*8</f>
        <v>2000</v>
      </c>
    </row>
    <row r="8" spans="1:13" ht="13.5">
      <c r="A8" s="1" t="s">
        <v>7</v>
      </c>
      <c r="B8" s="1" t="s">
        <v>8</v>
      </c>
      <c r="I8" s="18"/>
      <c r="J8" s="19"/>
      <c r="K8" s="19"/>
      <c r="L8" s="19"/>
      <c r="M8" s="19"/>
    </row>
    <row r="9" spans="9:14" ht="41.25">
      <c r="I9" s="18" t="s">
        <v>35</v>
      </c>
      <c r="J9" s="19">
        <f>((G31+G62+G82)/3)*1000/P7</f>
        <v>74.8814537245478</v>
      </c>
      <c r="K9" s="19">
        <f>($Q$3*J9)+((1/$P$4)*$Q$2*$P$5)</f>
        <v>97.26056868574614</v>
      </c>
      <c r="L9" s="19">
        <f>($R$3*J9)+((1/$P$4)*$R$2*$P$5)</f>
        <v>344.2840448205879</v>
      </c>
      <c r="M9" s="19">
        <f aca="true" t="shared" si="0" ref="M9:M21">AVERAGE(K9:L9)</f>
        <v>220.77230675316702</v>
      </c>
      <c r="N9" s="21">
        <f aca="true" t="shared" si="1" ref="N9:N21">1-((2.5*J9)/M9)</f>
        <v>0.15205110158734159</v>
      </c>
    </row>
    <row r="10" spans="1:13" ht="39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0" t="s">
        <v>122</v>
      </c>
      <c r="I10" s="18"/>
      <c r="J10" s="19"/>
      <c r="K10" s="19"/>
      <c r="L10" s="19"/>
      <c r="M10" s="19"/>
    </row>
    <row r="11" spans="1:14" ht="27.75">
      <c r="A11" s="3" t="s">
        <v>15</v>
      </c>
      <c r="B11" s="4" t="s">
        <v>17</v>
      </c>
      <c r="C11" s="5">
        <v>120</v>
      </c>
      <c r="D11" s="4" t="s">
        <v>17</v>
      </c>
      <c r="E11" s="4" t="s">
        <v>17</v>
      </c>
      <c r="F11" s="4" t="s">
        <v>17</v>
      </c>
      <c r="G11" s="1">
        <f>C11*'inflation correction'!E16</f>
        <v>128.7806885200933</v>
      </c>
      <c r="I11" s="18" t="s">
        <v>36</v>
      </c>
      <c r="J11" s="19">
        <f>G72*1000/P7</f>
        <v>42.504502797329</v>
      </c>
      <c r="K11" s="19">
        <f>($Q$3*J11)+((1/$P$4)*$Q$2*$P$5)</f>
        <v>64.88361775852735</v>
      </c>
      <c r="L11" s="19">
        <f>($R$3*J11)+((1/$P$4)*$R$2*$P$5)</f>
        <v>214.7762411117127</v>
      </c>
      <c r="M11" s="19">
        <f t="shared" si="0"/>
        <v>139.82992943512002</v>
      </c>
      <c r="N11" s="21">
        <f t="shared" si="1"/>
        <v>0.24006786370705502</v>
      </c>
    </row>
    <row r="12" spans="1:15" ht="13.5">
      <c r="A12" s="3" t="s">
        <v>16</v>
      </c>
      <c r="B12" s="4" t="s">
        <v>17</v>
      </c>
      <c r="C12" s="5">
        <v>120</v>
      </c>
      <c r="D12" s="4" t="s">
        <v>17</v>
      </c>
      <c r="E12" s="4" t="s">
        <v>17</v>
      </c>
      <c r="F12" s="4" t="s">
        <v>17</v>
      </c>
      <c r="G12" s="1"/>
      <c r="I12" s="18"/>
      <c r="J12" s="19"/>
      <c r="K12" s="19"/>
      <c r="L12" s="19"/>
      <c r="M12" s="19"/>
      <c r="O12" s="8"/>
    </row>
    <row r="13" spans="9:15" ht="27.75">
      <c r="I13" s="18" t="s">
        <v>37</v>
      </c>
      <c r="J13" s="19">
        <f>((G92+G102+G112)/3)*1000/P7</f>
        <v>29.515570689944497</v>
      </c>
      <c r="K13" s="19">
        <f>($Q$3*J13)+((1/$P$4)*$Q$2*$P$5)</f>
        <v>51.89468565114284</v>
      </c>
      <c r="L13" s="19">
        <f>($R$3*J13)+((1/$P$4)*$R$2*$P$5)</f>
        <v>162.82051268217467</v>
      </c>
      <c r="M13" s="19">
        <f t="shared" si="0"/>
        <v>107.35759916665876</v>
      </c>
      <c r="N13" s="21">
        <f t="shared" si="1"/>
        <v>0.31268091595161795</v>
      </c>
      <c r="O13" s="8"/>
    </row>
    <row r="14" spans="1:15" ht="13.5">
      <c r="A14" s="1" t="s">
        <v>18</v>
      </c>
      <c r="I14" s="18"/>
      <c r="J14" s="19"/>
      <c r="K14" s="19"/>
      <c r="L14" s="19"/>
      <c r="M14" s="19"/>
      <c r="O14" s="8"/>
    </row>
    <row r="15" spans="1:15" ht="27.75">
      <c r="A15" s="1" t="s">
        <v>17</v>
      </c>
      <c r="B15" s="1" t="s">
        <v>19</v>
      </c>
      <c r="I15" s="18" t="s">
        <v>43</v>
      </c>
      <c r="J15" s="19">
        <f>G122*1000/P7</f>
        <v>37.14591798934261</v>
      </c>
      <c r="K15" s="19">
        <f>($Q$3*J15)+((1/$P$4)*$Q$2*$P$5)</f>
        <v>59.52503295054095</v>
      </c>
      <c r="L15" s="19">
        <f>($R$3*J15)+((1/$P$4)*$R$2*$P$5)</f>
        <v>193.3419018797671</v>
      </c>
      <c r="M15" s="19">
        <f>AVERAGE(K15:L15)</f>
        <v>126.43346741515403</v>
      </c>
      <c r="N15" s="21">
        <f t="shared" si="1"/>
        <v>0.26550464151688724</v>
      </c>
      <c r="O15" s="8"/>
    </row>
    <row r="16" spans="9:15" ht="13.5">
      <c r="I16" s="18"/>
      <c r="J16" s="19"/>
      <c r="K16" s="19"/>
      <c r="L16" s="19"/>
      <c r="M16" s="19"/>
      <c r="O16" s="8"/>
    </row>
    <row r="17" spans="1:15" ht="13.5">
      <c r="A17" s="1" t="s">
        <v>5</v>
      </c>
      <c r="B17" s="1" t="s">
        <v>20</v>
      </c>
      <c r="I17" s="18" t="s">
        <v>38</v>
      </c>
      <c r="J17" s="19">
        <f>G41*1000/P7</f>
        <v>40.475524083625416</v>
      </c>
      <c r="K17" s="19">
        <f>($Q$3*J17)+((1/$P$4)*$Q$2*$P$5)</f>
        <v>62.854639044823756</v>
      </c>
      <c r="L17" s="19">
        <f>($R$3*J17)+((1/$P$4)*$R$2*$P$5)</f>
        <v>206.66032625689834</v>
      </c>
      <c r="M17" s="19">
        <f t="shared" si="0"/>
        <v>134.75748265086105</v>
      </c>
      <c r="N17" s="21">
        <f t="shared" si="1"/>
        <v>0.24910433010068556</v>
      </c>
      <c r="O17" s="8"/>
    </row>
    <row r="18" spans="1:15" ht="13.5">
      <c r="A18" s="1" t="s">
        <v>7</v>
      </c>
      <c r="B18" s="1" t="s">
        <v>8</v>
      </c>
      <c r="I18" s="18"/>
      <c r="J18" s="19"/>
      <c r="K18" s="19"/>
      <c r="L18" s="19"/>
      <c r="M18" s="19"/>
      <c r="O18" s="8"/>
    </row>
    <row r="19" spans="9:15" ht="13.5">
      <c r="I19" s="18" t="s">
        <v>39</v>
      </c>
      <c r="J19" s="19">
        <f>G41*1000/P7</f>
        <v>40.475524083625416</v>
      </c>
      <c r="K19" s="19">
        <f>($Q$3*J19)+((1/$P$4)*$Q$2*$P$5)</f>
        <v>62.854639044823756</v>
      </c>
      <c r="L19" s="19">
        <f>($R$3*J19)+((1/$P$4)*$R$2*$P$5)</f>
        <v>206.66032625689834</v>
      </c>
      <c r="M19" s="19">
        <f t="shared" si="0"/>
        <v>134.75748265086105</v>
      </c>
      <c r="N19" s="21">
        <f t="shared" si="1"/>
        <v>0.24910433010068556</v>
      </c>
      <c r="O19" s="8"/>
    </row>
    <row r="20" spans="1:15" ht="39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3" t="s">
        <v>14</v>
      </c>
      <c r="G20" s="30" t="s">
        <v>122</v>
      </c>
      <c r="I20" s="18"/>
      <c r="J20" s="19"/>
      <c r="K20" s="19"/>
      <c r="L20" s="19"/>
      <c r="M20" s="19"/>
      <c r="O20" s="8"/>
    </row>
    <row r="21" spans="1:15" ht="13.5">
      <c r="A21" s="3" t="s">
        <v>15</v>
      </c>
      <c r="B21" s="5">
        <v>181</v>
      </c>
      <c r="C21" s="5">
        <v>199</v>
      </c>
      <c r="D21" s="5">
        <v>198</v>
      </c>
      <c r="E21" s="4" t="s">
        <v>17</v>
      </c>
      <c r="F21" s="4" t="s">
        <v>17</v>
      </c>
      <c r="G21" s="1">
        <f>D21*'inflation correction'!F16</f>
        <v>209.57874597791113</v>
      </c>
      <c r="I21" s="18" t="s">
        <v>40</v>
      </c>
      <c r="J21" s="19">
        <f>G52*1000/P7</f>
        <v>43.49297960656921</v>
      </c>
      <c r="K21" s="19">
        <f>($Q$3*J21)+((1/$P$4)*$Q$2*$P$5)</f>
        <v>65.87209456776755</v>
      </c>
      <c r="L21" s="19">
        <f>($R$3*J21)+((1/$P$4)*$R$2*$P$5)</f>
        <v>218.7301483486735</v>
      </c>
      <c r="M21" s="19">
        <f t="shared" si="0"/>
        <v>142.30112145822054</v>
      </c>
      <c r="N21" s="21">
        <f t="shared" si="1"/>
        <v>0.23589886079466527</v>
      </c>
      <c r="O21" s="8"/>
    </row>
    <row r="22" spans="1:15" ht="13.5">
      <c r="A22" s="3" t="s">
        <v>16</v>
      </c>
      <c r="B22" s="5">
        <v>178</v>
      </c>
      <c r="C22" s="5">
        <v>196</v>
      </c>
      <c r="D22" s="5">
        <v>195</v>
      </c>
      <c r="E22" s="4" t="s">
        <v>17</v>
      </c>
      <c r="F22" s="4" t="s">
        <v>17</v>
      </c>
      <c r="G22" s="1"/>
      <c r="K22" s="19"/>
      <c r="L22" s="19"/>
      <c r="M22" s="19"/>
      <c r="O22" s="8"/>
    </row>
    <row r="23" ht="13.5">
      <c r="O23" s="8"/>
    </row>
    <row r="24" spans="1:15" ht="13.5">
      <c r="A24" s="1" t="s">
        <v>18</v>
      </c>
      <c r="O24" s="8"/>
    </row>
    <row r="25" spans="1:15" ht="13.5">
      <c r="A25" s="1" t="s">
        <v>17</v>
      </c>
      <c r="B25" s="1" t="s">
        <v>19</v>
      </c>
      <c r="O25" s="8"/>
    </row>
    <row r="26" ht="13.5">
      <c r="O26" s="8"/>
    </row>
    <row r="27" spans="1:2" ht="13.5">
      <c r="A27" s="1" t="s">
        <v>5</v>
      </c>
      <c r="B27" s="1" t="s">
        <v>21</v>
      </c>
    </row>
    <row r="28" spans="1:11" ht="13.5">
      <c r="A28" s="1" t="s">
        <v>7</v>
      </c>
      <c r="B28" s="1" t="s">
        <v>8</v>
      </c>
      <c r="K28" s="32"/>
    </row>
    <row r="30" spans="1:7" ht="39">
      <c r="A30" s="3" t="s">
        <v>9</v>
      </c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0" t="s">
        <v>122</v>
      </c>
    </row>
    <row r="31" spans="1:7" ht="13.5">
      <c r="A31" s="3" t="s">
        <v>15</v>
      </c>
      <c r="B31" s="5">
        <v>100</v>
      </c>
      <c r="C31" s="5">
        <v>109</v>
      </c>
      <c r="D31" s="5">
        <v>100</v>
      </c>
      <c r="E31" s="6">
        <v>111.7</v>
      </c>
      <c r="F31" s="4" t="s">
        <v>17</v>
      </c>
      <c r="G31" s="1">
        <f>E31*'inflation correction'!G16</f>
        <v>116.22406272855936</v>
      </c>
    </row>
    <row r="32" spans="1:7" ht="13.5">
      <c r="A32" s="3" t="s">
        <v>16</v>
      </c>
      <c r="B32" s="5">
        <v>100</v>
      </c>
      <c r="C32" s="5">
        <v>113</v>
      </c>
      <c r="D32" s="4" t="s">
        <v>17</v>
      </c>
      <c r="E32" s="4" t="s">
        <v>17</v>
      </c>
      <c r="F32" s="4" t="s">
        <v>17</v>
      </c>
      <c r="G32" s="1"/>
    </row>
    <row r="34" ht="13.5">
      <c r="A34" s="1" t="s">
        <v>18</v>
      </c>
    </row>
    <row r="35" spans="1:2" ht="13.5">
      <c r="A35" s="1" t="s">
        <v>17</v>
      </c>
      <c r="B35" s="1" t="s">
        <v>19</v>
      </c>
    </row>
    <row r="37" spans="1:2" ht="13.5">
      <c r="A37" s="1" t="s">
        <v>5</v>
      </c>
      <c r="B37" s="1" t="s">
        <v>22</v>
      </c>
    </row>
    <row r="38" spans="1:2" ht="13.5">
      <c r="A38" s="1" t="s">
        <v>7</v>
      </c>
      <c r="B38" s="1" t="s">
        <v>8</v>
      </c>
    </row>
    <row r="40" spans="1:7" ht="39">
      <c r="A40" s="3" t="s">
        <v>9</v>
      </c>
      <c r="B40" s="3" t="s">
        <v>10</v>
      </c>
      <c r="C40" s="3" t="s">
        <v>11</v>
      </c>
      <c r="D40" s="3" t="s">
        <v>12</v>
      </c>
      <c r="E40" s="3" t="s">
        <v>13</v>
      </c>
      <c r="F40" s="3" t="s">
        <v>14</v>
      </c>
      <c r="G40" s="30" t="s">
        <v>122</v>
      </c>
    </row>
    <row r="41" spans="1:7" ht="13.5">
      <c r="A41" s="3" t="s">
        <v>15</v>
      </c>
      <c r="B41" s="5">
        <v>81</v>
      </c>
      <c r="C41" s="4" t="s">
        <v>17</v>
      </c>
      <c r="D41" s="5">
        <v>76</v>
      </c>
      <c r="E41" s="6">
        <v>77.8</v>
      </c>
      <c r="F41" s="4" t="s">
        <v>17</v>
      </c>
      <c r="G41" s="1">
        <f>E41*'inflation correction'!G16</f>
        <v>80.95104816725083</v>
      </c>
    </row>
    <row r="42" spans="1:7" ht="13.5">
      <c r="A42" s="3" t="s">
        <v>16</v>
      </c>
      <c r="B42" s="5">
        <v>80</v>
      </c>
      <c r="C42" s="5">
        <v>79</v>
      </c>
      <c r="D42" s="4" t="s">
        <v>17</v>
      </c>
      <c r="E42" s="4" t="s">
        <v>17</v>
      </c>
      <c r="F42" s="4" t="s">
        <v>17</v>
      </c>
      <c r="G42" s="1"/>
    </row>
    <row r="44" ht="13.5">
      <c r="A44" s="1" t="s">
        <v>18</v>
      </c>
    </row>
    <row r="45" spans="1:2" ht="13.5">
      <c r="A45" s="1" t="s">
        <v>17</v>
      </c>
      <c r="B45" s="1" t="s">
        <v>19</v>
      </c>
    </row>
    <row r="48" spans="1:2" ht="13.5">
      <c r="A48" s="1" t="s">
        <v>5</v>
      </c>
      <c r="B48" s="1" t="s">
        <v>23</v>
      </c>
    </row>
    <row r="49" spans="1:2" ht="13.5">
      <c r="A49" s="1" t="s">
        <v>7</v>
      </c>
      <c r="B49" s="1" t="s">
        <v>8</v>
      </c>
    </row>
    <row r="51" spans="1:7" ht="39">
      <c r="A51" s="3" t="s">
        <v>9</v>
      </c>
      <c r="B51" s="3" t="s">
        <v>10</v>
      </c>
      <c r="C51" s="3" t="s">
        <v>11</v>
      </c>
      <c r="D51" s="3" t="s">
        <v>12</v>
      </c>
      <c r="E51" s="3" t="s">
        <v>13</v>
      </c>
      <c r="F51" s="3" t="s">
        <v>14</v>
      </c>
      <c r="G51" s="30" t="s">
        <v>122</v>
      </c>
    </row>
    <row r="52" spans="1:7" ht="13.5">
      <c r="A52" s="3" t="s">
        <v>15</v>
      </c>
      <c r="B52" s="5">
        <v>87</v>
      </c>
      <c r="C52" s="5">
        <v>73</v>
      </c>
      <c r="D52" s="5">
        <v>80</v>
      </c>
      <c r="E52" s="6">
        <v>83.6</v>
      </c>
      <c r="F52" s="4" t="s">
        <v>17</v>
      </c>
      <c r="G52" s="1">
        <f>E52*'inflation correction'!G16</f>
        <v>86.98595921313841</v>
      </c>
    </row>
    <row r="53" spans="1:7" ht="13.5">
      <c r="A53" s="3" t="s">
        <v>16</v>
      </c>
      <c r="B53" s="5">
        <v>95</v>
      </c>
      <c r="C53" s="5">
        <v>72</v>
      </c>
      <c r="D53" s="5">
        <v>82</v>
      </c>
      <c r="E53" s="4" t="s">
        <v>17</v>
      </c>
      <c r="F53" s="4" t="s">
        <v>17</v>
      </c>
      <c r="G53" s="1"/>
    </row>
    <row r="55" ht="13.5">
      <c r="A55" s="1" t="s">
        <v>18</v>
      </c>
    </row>
    <row r="56" spans="1:2" ht="13.5">
      <c r="A56" s="1" t="s">
        <v>17</v>
      </c>
      <c r="B56" s="1" t="s">
        <v>19</v>
      </c>
    </row>
    <row r="58" spans="1:2" ht="13.5">
      <c r="A58" s="1" t="s">
        <v>5</v>
      </c>
      <c r="B58" s="1" t="s">
        <v>44</v>
      </c>
    </row>
    <row r="59" spans="1:2" ht="13.5">
      <c r="A59" s="1" t="s">
        <v>7</v>
      </c>
      <c r="B59" s="1" t="s">
        <v>8</v>
      </c>
    </row>
    <row r="61" spans="1:7" ht="39">
      <c r="A61" s="3" t="s">
        <v>9</v>
      </c>
      <c r="B61" s="3" t="s">
        <v>10</v>
      </c>
      <c r="C61" s="3" t="s">
        <v>11</v>
      </c>
      <c r="D61" s="3" t="s">
        <v>12</v>
      </c>
      <c r="E61" s="3" t="s">
        <v>13</v>
      </c>
      <c r="F61" s="3" t="s">
        <v>14</v>
      </c>
      <c r="G61" s="30" t="s">
        <v>122</v>
      </c>
    </row>
    <row r="62" spans="1:7" ht="13.5">
      <c r="A62" s="3" t="s">
        <v>15</v>
      </c>
      <c r="B62" s="4"/>
      <c r="C62" s="5">
        <v>120</v>
      </c>
      <c r="D62" s="5">
        <v>119</v>
      </c>
      <c r="E62" s="6">
        <v>123.5</v>
      </c>
      <c r="F62" s="4" t="s">
        <v>17</v>
      </c>
      <c r="G62" s="1">
        <f>E62*'inflation correction'!G16</f>
        <v>128.50198520122723</v>
      </c>
    </row>
    <row r="63" spans="1:7" ht="13.5">
      <c r="A63" s="3" t="s">
        <v>16</v>
      </c>
      <c r="B63" s="5">
        <v>112</v>
      </c>
      <c r="C63" s="5">
        <v>119</v>
      </c>
      <c r="D63" s="4"/>
      <c r="E63" s="4" t="s">
        <v>17</v>
      </c>
      <c r="F63" s="4" t="s">
        <v>17</v>
      </c>
      <c r="G63" s="1"/>
    </row>
    <row r="65" ht="13.5">
      <c r="A65" s="1" t="s">
        <v>18</v>
      </c>
    </row>
    <row r="66" spans="1:2" ht="13.5">
      <c r="A66" s="1" t="s">
        <v>17</v>
      </c>
      <c r="B66" s="1" t="s">
        <v>19</v>
      </c>
    </row>
    <row r="68" spans="1:2" ht="13.5">
      <c r="A68" s="1" t="s">
        <v>5</v>
      </c>
      <c r="B68" s="1" t="s">
        <v>24</v>
      </c>
    </row>
    <row r="69" spans="1:2" ht="13.5">
      <c r="A69" s="1" t="s">
        <v>7</v>
      </c>
      <c r="B69" s="1" t="s">
        <v>8</v>
      </c>
    </row>
    <row r="71" spans="1:7" ht="39">
      <c r="A71" s="3" t="s">
        <v>9</v>
      </c>
      <c r="B71" s="3" t="s">
        <v>10</v>
      </c>
      <c r="C71" s="3" t="s">
        <v>11</v>
      </c>
      <c r="D71" s="3" t="s">
        <v>12</v>
      </c>
      <c r="E71" s="3" t="s">
        <v>13</v>
      </c>
      <c r="F71" s="3" t="s">
        <v>14</v>
      </c>
      <c r="G71" s="30" t="s">
        <v>122</v>
      </c>
    </row>
    <row r="72" spans="1:7" ht="13.5">
      <c r="A72" s="3" t="s">
        <v>15</v>
      </c>
      <c r="B72" s="4" t="s">
        <v>17</v>
      </c>
      <c r="C72" s="4" t="s">
        <v>17</v>
      </c>
      <c r="D72" s="4" t="s">
        <v>17</v>
      </c>
      <c r="E72" s="6">
        <v>81.7</v>
      </c>
      <c r="F72" s="4" t="s">
        <v>17</v>
      </c>
      <c r="G72" s="1">
        <f>E72*'inflation correction'!G16</f>
        <v>85.009005594658</v>
      </c>
    </row>
    <row r="73" spans="1:7" ht="13.5">
      <c r="A73" s="3" t="s">
        <v>16</v>
      </c>
      <c r="B73" s="4" t="s">
        <v>17</v>
      </c>
      <c r="C73" s="5">
        <v>90</v>
      </c>
      <c r="D73" s="5">
        <v>87</v>
      </c>
      <c r="E73" s="4" t="s">
        <v>17</v>
      </c>
      <c r="F73" s="4" t="s">
        <v>17</v>
      </c>
      <c r="G73" s="1"/>
    </row>
    <row r="75" ht="13.5">
      <c r="A75" s="1" t="s">
        <v>18</v>
      </c>
    </row>
    <row r="76" spans="1:2" ht="13.5">
      <c r="A76" s="1" t="s">
        <v>17</v>
      </c>
      <c r="B76" s="1" t="s">
        <v>19</v>
      </c>
    </row>
    <row r="78" spans="1:2" ht="13.5">
      <c r="A78" s="1" t="s">
        <v>5</v>
      </c>
      <c r="B78" s="1" t="s">
        <v>25</v>
      </c>
    </row>
    <row r="79" spans="1:2" ht="13.5">
      <c r="A79" s="1" t="s">
        <v>7</v>
      </c>
      <c r="B79" s="1" t="s">
        <v>8</v>
      </c>
    </row>
    <row r="81" spans="1:7" ht="39">
      <c r="A81" s="3" t="s">
        <v>9</v>
      </c>
      <c r="B81" s="3" t="s">
        <v>10</v>
      </c>
      <c r="C81" s="3" t="s">
        <v>11</v>
      </c>
      <c r="D81" s="3" t="s">
        <v>12</v>
      </c>
      <c r="E81" s="3" t="s">
        <v>13</v>
      </c>
      <c r="F81" s="3" t="s">
        <v>14</v>
      </c>
      <c r="G81" s="30" t="s">
        <v>122</v>
      </c>
    </row>
    <row r="82" spans="1:7" ht="13.5">
      <c r="A82" s="3" t="s">
        <v>15</v>
      </c>
      <c r="B82" s="5">
        <v>173</v>
      </c>
      <c r="C82" s="5">
        <v>179</v>
      </c>
      <c r="D82" s="5">
        <v>187</v>
      </c>
      <c r="E82" s="6">
        <v>196.6</v>
      </c>
      <c r="F82" s="4" t="s">
        <v>17</v>
      </c>
      <c r="G82" s="1">
        <f>E82*'inflation correction'!G16</f>
        <v>204.56267441750018</v>
      </c>
    </row>
    <row r="83" spans="1:7" ht="13.5">
      <c r="A83" s="3" t="s">
        <v>16</v>
      </c>
      <c r="B83" s="5">
        <v>170</v>
      </c>
      <c r="C83" s="5">
        <v>174</v>
      </c>
      <c r="D83" s="5">
        <v>183</v>
      </c>
      <c r="E83" s="4" t="s">
        <v>17</v>
      </c>
      <c r="F83" s="4" t="s">
        <v>17</v>
      </c>
      <c r="G83" s="1"/>
    </row>
    <row r="85" ht="13.5">
      <c r="A85" s="1" t="s">
        <v>18</v>
      </c>
    </row>
    <row r="86" spans="1:2" ht="13.5">
      <c r="A86" s="1" t="s">
        <v>17</v>
      </c>
      <c r="B86" s="1" t="s">
        <v>19</v>
      </c>
    </row>
    <row r="88" spans="1:2" ht="13.5">
      <c r="A88" s="1" t="s">
        <v>5</v>
      </c>
      <c r="B88" s="1" t="s">
        <v>26</v>
      </c>
    </row>
    <row r="89" spans="1:2" ht="13.5">
      <c r="A89" s="1" t="s">
        <v>7</v>
      </c>
      <c r="B89" s="1" t="s">
        <v>8</v>
      </c>
    </row>
    <row r="91" spans="1:7" ht="39">
      <c r="A91" s="3" t="s">
        <v>9</v>
      </c>
      <c r="B91" s="3" t="s">
        <v>10</v>
      </c>
      <c r="C91" s="3" t="s">
        <v>11</v>
      </c>
      <c r="D91" s="3" t="s">
        <v>12</v>
      </c>
      <c r="E91" s="3" t="s">
        <v>13</v>
      </c>
      <c r="F91" s="3" t="s">
        <v>14</v>
      </c>
      <c r="G91" s="30" t="s">
        <v>122</v>
      </c>
    </row>
    <row r="92" spans="1:7" ht="13.5">
      <c r="A92" s="3" t="s">
        <v>15</v>
      </c>
      <c r="B92" s="5">
        <v>50</v>
      </c>
      <c r="C92" s="5">
        <v>52</v>
      </c>
      <c r="D92" s="5">
        <v>53</v>
      </c>
      <c r="E92" s="6">
        <v>52.3</v>
      </c>
      <c r="F92" s="4" t="s">
        <v>17</v>
      </c>
      <c r="G92" s="1">
        <f>E92*'inflation correction'!G16</f>
        <v>54.41824960343468</v>
      </c>
    </row>
    <row r="93" spans="1:7" ht="13.5">
      <c r="A93" s="3" t="s">
        <v>16</v>
      </c>
      <c r="B93" s="5">
        <v>51</v>
      </c>
      <c r="C93" s="5">
        <v>52</v>
      </c>
      <c r="D93" s="5">
        <v>53</v>
      </c>
      <c r="E93" s="4" t="s">
        <v>17</v>
      </c>
      <c r="F93" s="4" t="s">
        <v>17</v>
      </c>
      <c r="G93" s="1"/>
    </row>
    <row r="95" ht="13.5">
      <c r="A95" s="1" t="s">
        <v>18</v>
      </c>
    </row>
    <row r="96" spans="1:2" ht="13.5">
      <c r="A96" s="1" t="s">
        <v>17</v>
      </c>
      <c r="B96" s="1" t="s">
        <v>19</v>
      </c>
    </row>
    <row r="98" spans="1:2" ht="13.5">
      <c r="A98" s="1" t="s">
        <v>5</v>
      </c>
      <c r="B98" s="1" t="s">
        <v>27</v>
      </c>
    </row>
    <row r="99" spans="1:2" ht="13.5">
      <c r="A99" s="1" t="s">
        <v>7</v>
      </c>
      <c r="B99" s="1" t="s">
        <v>8</v>
      </c>
    </row>
    <row r="101" spans="1:7" ht="39">
      <c r="A101" s="3" t="s">
        <v>9</v>
      </c>
      <c r="B101" s="3" t="s">
        <v>10</v>
      </c>
      <c r="C101" s="3" t="s">
        <v>11</v>
      </c>
      <c r="D101" s="3" t="s">
        <v>12</v>
      </c>
      <c r="E101" s="3" t="s">
        <v>13</v>
      </c>
      <c r="F101" s="3" t="s">
        <v>14</v>
      </c>
      <c r="G101" s="30" t="s">
        <v>122</v>
      </c>
    </row>
    <row r="102" spans="1:7" ht="13.5">
      <c r="A102" s="3" t="s">
        <v>15</v>
      </c>
      <c r="B102" s="5">
        <v>49</v>
      </c>
      <c r="C102" s="5">
        <v>52</v>
      </c>
      <c r="D102" s="5">
        <v>54</v>
      </c>
      <c r="E102" s="6">
        <v>52.5</v>
      </c>
      <c r="F102" s="4" t="s">
        <v>17</v>
      </c>
      <c r="G102" s="1">
        <f>E102*'inflation correction'!G16</f>
        <v>54.62634998432736</v>
      </c>
    </row>
    <row r="103" spans="1:7" ht="13.5">
      <c r="A103" s="3" t="s">
        <v>16</v>
      </c>
      <c r="B103" s="5">
        <v>50</v>
      </c>
      <c r="C103" s="5">
        <v>53</v>
      </c>
      <c r="D103" s="5">
        <v>54</v>
      </c>
      <c r="E103" s="4" t="s">
        <v>17</v>
      </c>
      <c r="F103" s="4" t="s">
        <v>17</v>
      </c>
      <c r="G103" s="1"/>
    </row>
    <row r="105" ht="13.5">
      <c r="A105" s="1" t="s">
        <v>18</v>
      </c>
    </row>
    <row r="106" spans="1:2" ht="13.5">
      <c r="A106" s="1" t="s">
        <v>17</v>
      </c>
      <c r="B106" s="1" t="s">
        <v>19</v>
      </c>
    </row>
    <row r="108" spans="1:2" ht="13.5">
      <c r="A108" s="1" t="s">
        <v>5</v>
      </c>
      <c r="B108" s="1" t="s">
        <v>28</v>
      </c>
    </row>
    <row r="109" spans="1:2" ht="13.5">
      <c r="A109" s="1" t="s">
        <v>7</v>
      </c>
      <c r="B109" s="1" t="s">
        <v>8</v>
      </c>
    </row>
    <row r="111" spans="1:7" ht="39">
      <c r="A111" s="3" t="s">
        <v>9</v>
      </c>
      <c r="B111" s="3" t="s">
        <v>10</v>
      </c>
      <c r="C111" s="3" t="s">
        <v>11</v>
      </c>
      <c r="D111" s="3" t="s">
        <v>12</v>
      </c>
      <c r="E111" s="3" t="s">
        <v>13</v>
      </c>
      <c r="F111" s="3" t="s">
        <v>14</v>
      </c>
      <c r="G111" s="30" t="s">
        <v>122</v>
      </c>
    </row>
    <row r="112" spans="1:7" ht="13.5">
      <c r="A112" s="3" t="s">
        <v>15</v>
      </c>
      <c r="B112" s="5">
        <v>62</v>
      </c>
      <c r="C112" s="5">
        <v>66</v>
      </c>
      <c r="D112" s="5">
        <v>67</v>
      </c>
      <c r="E112" s="6">
        <v>65.4</v>
      </c>
      <c r="F112" s="4" t="s">
        <v>17</v>
      </c>
      <c r="G112" s="1">
        <f>E112*'inflation correction'!G16</f>
        <v>68.04882455190494</v>
      </c>
    </row>
    <row r="113" spans="1:7" ht="13.5">
      <c r="A113" s="3" t="s">
        <v>16</v>
      </c>
      <c r="B113" s="5">
        <v>63</v>
      </c>
      <c r="C113" s="5">
        <v>66</v>
      </c>
      <c r="D113" s="5">
        <v>67</v>
      </c>
      <c r="E113" s="4" t="s">
        <v>17</v>
      </c>
      <c r="F113" s="4" t="s">
        <v>17</v>
      </c>
      <c r="G113" s="1"/>
    </row>
    <row r="115" ht="13.5">
      <c r="A115" s="1" t="s">
        <v>18</v>
      </c>
    </row>
    <row r="116" spans="1:2" ht="13.5">
      <c r="A116" s="1" t="s">
        <v>17</v>
      </c>
      <c r="B116" s="1" t="s">
        <v>19</v>
      </c>
    </row>
    <row r="118" spans="1:2" ht="13.5">
      <c r="A118" s="1" t="s">
        <v>5</v>
      </c>
      <c r="B118" s="1" t="s">
        <v>29</v>
      </c>
    </row>
    <row r="119" spans="1:2" ht="13.5">
      <c r="A119" s="1" t="s">
        <v>7</v>
      </c>
      <c r="B119" s="1" t="s">
        <v>8</v>
      </c>
    </row>
    <row r="121" spans="1:7" ht="39">
      <c r="A121" s="3" t="s">
        <v>9</v>
      </c>
      <c r="B121" s="3" t="s">
        <v>10</v>
      </c>
      <c r="C121" s="3" t="s">
        <v>11</v>
      </c>
      <c r="D121" s="3" t="s">
        <v>12</v>
      </c>
      <c r="E121" s="3" t="s">
        <v>13</v>
      </c>
      <c r="F121" s="3" t="s">
        <v>14</v>
      </c>
      <c r="G121" s="30" t="s">
        <v>122</v>
      </c>
    </row>
    <row r="122" spans="1:7" ht="13.5">
      <c r="A122" s="3" t="s">
        <v>15</v>
      </c>
      <c r="B122" s="5">
        <v>66</v>
      </c>
      <c r="C122" s="5">
        <v>71</v>
      </c>
      <c r="D122" s="5">
        <v>73</v>
      </c>
      <c r="E122" s="6">
        <v>71.4</v>
      </c>
      <c r="F122" s="4" t="s">
        <v>17</v>
      </c>
      <c r="G122" s="1">
        <f>E122*'inflation correction'!G16</f>
        <v>74.29183597868521</v>
      </c>
    </row>
    <row r="123" spans="1:7" ht="13.5">
      <c r="A123" s="3" t="s">
        <v>16</v>
      </c>
      <c r="B123" s="5">
        <v>67</v>
      </c>
      <c r="C123" s="5">
        <v>71</v>
      </c>
      <c r="D123" s="5">
        <v>73</v>
      </c>
      <c r="E123" s="4" t="s">
        <v>17</v>
      </c>
      <c r="F123" s="4" t="s">
        <v>17</v>
      </c>
      <c r="G123" s="1"/>
    </row>
    <row r="125" ht="13.5">
      <c r="A125" s="1" t="s">
        <v>18</v>
      </c>
    </row>
    <row r="126" spans="1:2" ht="13.5">
      <c r="A126" s="1" t="s">
        <v>17</v>
      </c>
      <c r="B126" s="1" t="s">
        <v>19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1">
      <selection activeCell="H18" sqref="H18"/>
    </sheetView>
  </sheetViews>
  <sheetFormatPr defaultColWidth="9.00390625" defaultRowHeight="14.25"/>
  <cols>
    <col min="1" max="1" width="72.25390625" style="0" bestFit="1" customWidth="1"/>
    <col min="8" max="8" width="29.00390625" style="0" bestFit="1" customWidth="1"/>
  </cols>
  <sheetData>
    <row r="1" ht="13.5">
      <c r="A1" s="11" t="s">
        <v>48</v>
      </c>
    </row>
    <row r="3" spans="1:2" ht="13.5">
      <c r="A3" s="11" t="s">
        <v>1</v>
      </c>
      <c r="B3" s="12">
        <v>44620.6878125</v>
      </c>
    </row>
    <row r="4" spans="1:2" ht="13.5">
      <c r="A4" s="11" t="s">
        <v>2</v>
      </c>
      <c r="B4" s="12">
        <v>44626.68224837963</v>
      </c>
    </row>
    <row r="5" spans="1:2" ht="13.5">
      <c r="A5" s="11" t="s">
        <v>3</v>
      </c>
      <c r="B5" s="11" t="s">
        <v>4</v>
      </c>
    </row>
    <row r="6" spans="8:9" ht="13.5">
      <c r="H6" s="7" t="s">
        <v>121</v>
      </c>
      <c r="I6">
        <f>'inflation correction'!G16</f>
        <v>1.0405019044633783</v>
      </c>
    </row>
    <row r="7" spans="1:9" ht="13.5">
      <c r="A7" s="11" t="s">
        <v>5</v>
      </c>
      <c r="B7" s="11" t="s">
        <v>49</v>
      </c>
      <c r="H7" t="s">
        <v>33</v>
      </c>
      <c r="I7">
        <v>250</v>
      </c>
    </row>
    <row r="8" spans="1:9" ht="13.5">
      <c r="A8" s="11" t="s">
        <v>7</v>
      </c>
      <c r="B8" s="11" t="s">
        <v>50</v>
      </c>
      <c r="H8" s="7" t="s">
        <v>34</v>
      </c>
      <c r="I8">
        <f>I7*8</f>
        <v>2000</v>
      </c>
    </row>
    <row r="9" spans="8:9" ht="13.5">
      <c r="H9" s="17" t="s">
        <v>51</v>
      </c>
      <c r="I9" s="19">
        <f>((B11+B21+B31+B41+B51)/5)*1000/I8*I6</f>
        <v>55.94778740299586</v>
      </c>
    </row>
    <row r="10" spans="1:3" ht="13.5">
      <c r="A10" s="13" t="s">
        <v>9</v>
      </c>
      <c r="B10" s="13" t="s">
        <v>13</v>
      </c>
      <c r="C10" s="13" t="s">
        <v>14</v>
      </c>
    </row>
    <row r="11" spans="1:3" ht="13.5">
      <c r="A11" s="13" t="s">
        <v>15</v>
      </c>
      <c r="B11" s="14">
        <v>112.8</v>
      </c>
      <c r="C11" s="15" t="s">
        <v>17</v>
      </c>
    </row>
    <row r="12" spans="1:3" ht="13.5">
      <c r="A12" s="13" t="s">
        <v>16</v>
      </c>
      <c r="B12" s="15" t="s">
        <v>17</v>
      </c>
      <c r="C12" s="15" t="s">
        <v>17</v>
      </c>
    </row>
    <row r="14" ht="13.5">
      <c r="A14" s="11" t="s">
        <v>18</v>
      </c>
    </row>
    <row r="15" spans="1:2" ht="13.5">
      <c r="A15" s="11" t="s">
        <v>17</v>
      </c>
      <c r="B15" s="11" t="s">
        <v>19</v>
      </c>
    </row>
    <row r="17" spans="1:2" ht="13.5">
      <c r="A17" s="11" t="s">
        <v>5</v>
      </c>
      <c r="B17" s="11" t="s">
        <v>52</v>
      </c>
    </row>
    <row r="18" spans="1:2" ht="13.5">
      <c r="A18" s="11" t="s">
        <v>7</v>
      </c>
      <c r="B18" s="11" t="s">
        <v>50</v>
      </c>
    </row>
    <row r="20" spans="1:3" ht="13.5">
      <c r="A20" s="13" t="s">
        <v>9</v>
      </c>
      <c r="B20" s="13" t="s">
        <v>13</v>
      </c>
      <c r="C20" s="13" t="s">
        <v>14</v>
      </c>
    </row>
    <row r="21" spans="1:3" ht="13.5">
      <c r="A21" s="13" t="s">
        <v>15</v>
      </c>
      <c r="B21" s="14">
        <v>119.6</v>
      </c>
      <c r="C21" s="15" t="s">
        <v>17</v>
      </c>
    </row>
    <row r="22" spans="1:3" ht="13.5">
      <c r="A22" s="13" t="s">
        <v>16</v>
      </c>
      <c r="B22" s="15" t="s">
        <v>17</v>
      </c>
      <c r="C22" s="15" t="s">
        <v>17</v>
      </c>
    </row>
    <row r="24" ht="13.5">
      <c r="A24" s="11" t="s">
        <v>18</v>
      </c>
    </row>
    <row r="25" spans="1:2" ht="13.5">
      <c r="A25" s="11" t="s">
        <v>17</v>
      </c>
      <c r="B25" s="11" t="s">
        <v>19</v>
      </c>
    </row>
    <row r="27" spans="1:2" ht="13.5">
      <c r="A27" s="11" t="s">
        <v>5</v>
      </c>
      <c r="B27" s="11" t="s">
        <v>53</v>
      </c>
    </row>
    <row r="28" spans="1:2" ht="13.5">
      <c r="A28" s="11" t="s">
        <v>7</v>
      </c>
      <c r="B28" s="11" t="s">
        <v>50</v>
      </c>
    </row>
    <row r="30" spans="1:3" ht="13.5">
      <c r="A30" s="13" t="s">
        <v>9</v>
      </c>
      <c r="B30" s="13" t="s">
        <v>13</v>
      </c>
      <c r="C30" s="13" t="s">
        <v>14</v>
      </c>
    </row>
    <row r="31" spans="1:3" ht="13.5">
      <c r="A31" s="13" t="s">
        <v>15</v>
      </c>
      <c r="B31" s="14">
        <v>121.2</v>
      </c>
      <c r="C31" s="15" t="s">
        <v>17</v>
      </c>
    </row>
    <row r="32" spans="1:3" ht="13.5">
      <c r="A32" s="13" t="s">
        <v>16</v>
      </c>
      <c r="B32" s="15" t="s">
        <v>17</v>
      </c>
      <c r="C32" s="15" t="s">
        <v>17</v>
      </c>
    </row>
    <row r="34" ht="13.5">
      <c r="A34" s="11" t="s">
        <v>18</v>
      </c>
    </row>
    <row r="35" spans="1:2" ht="13.5">
      <c r="A35" s="11" t="s">
        <v>17</v>
      </c>
      <c r="B35" s="11" t="s">
        <v>19</v>
      </c>
    </row>
    <row r="37" spans="1:2" ht="13.5">
      <c r="A37" s="11" t="s">
        <v>5</v>
      </c>
      <c r="B37" s="11" t="s">
        <v>54</v>
      </c>
    </row>
    <row r="38" spans="1:2" ht="13.5">
      <c r="A38" s="11" t="s">
        <v>7</v>
      </c>
      <c r="B38" s="11" t="s">
        <v>50</v>
      </c>
    </row>
    <row r="40" spans="1:3" ht="13.5">
      <c r="A40" s="13" t="s">
        <v>9</v>
      </c>
      <c r="B40" s="13" t="s">
        <v>13</v>
      </c>
      <c r="C40" s="13" t="s">
        <v>14</v>
      </c>
    </row>
    <row r="41" spans="1:3" ht="13.5">
      <c r="A41" s="13" t="s">
        <v>15</v>
      </c>
      <c r="B41" s="14">
        <v>83.4</v>
      </c>
      <c r="C41" s="15" t="s">
        <v>17</v>
      </c>
    </row>
    <row r="42" spans="1:3" ht="13.5">
      <c r="A42" s="13" t="s">
        <v>16</v>
      </c>
      <c r="B42" s="15" t="s">
        <v>17</v>
      </c>
      <c r="C42" s="15" t="s">
        <v>17</v>
      </c>
    </row>
    <row r="44" ht="13.5">
      <c r="A44" s="11" t="s">
        <v>18</v>
      </c>
    </row>
    <row r="45" spans="1:2" ht="13.5">
      <c r="A45" s="11" t="s">
        <v>17</v>
      </c>
      <c r="B45" s="11" t="s">
        <v>19</v>
      </c>
    </row>
    <row r="47" spans="1:2" ht="13.5">
      <c r="A47" s="11" t="s">
        <v>5</v>
      </c>
      <c r="B47" s="11" t="s">
        <v>55</v>
      </c>
    </row>
    <row r="48" spans="1:2" ht="13.5">
      <c r="A48" s="11" t="s">
        <v>7</v>
      </c>
      <c r="B48" s="11" t="s">
        <v>50</v>
      </c>
    </row>
    <row r="50" spans="1:3" ht="13.5">
      <c r="A50" s="13" t="s">
        <v>9</v>
      </c>
      <c r="B50" s="13" t="s">
        <v>13</v>
      </c>
      <c r="C50" s="13" t="s">
        <v>14</v>
      </c>
    </row>
    <row r="51" spans="1:3" ht="13.5">
      <c r="A51" s="13" t="s">
        <v>15</v>
      </c>
      <c r="B51" s="14">
        <v>100.7</v>
      </c>
      <c r="C51" s="15" t="s">
        <v>17</v>
      </c>
    </row>
    <row r="52" spans="1:3" ht="13.5">
      <c r="A52" s="13" t="s">
        <v>16</v>
      </c>
      <c r="B52" s="15" t="s">
        <v>17</v>
      </c>
      <c r="C52" s="15" t="s">
        <v>17</v>
      </c>
    </row>
    <row r="54" ht="13.5">
      <c r="A54" s="11" t="s">
        <v>18</v>
      </c>
    </row>
    <row r="55" spans="1:2" ht="13.5">
      <c r="A55" s="11" t="s">
        <v>17</v>
      </c>
      <c r="B55" s="1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1">
      <selection activeCell="E1" sqref="E1:E16384"/>
    </sheetView>
  </sheetViews>
  <sheetFormatPr defaultColWidth="9.00390625" defaultRowHeight="14.25"/>
  <cols>
    <col min="1" max="1" width="47.50390625" style="0" bestFit="1" customWidth="1"/>
    <col min="3" max="5" width="9.00390625" style="8" customWidth="1"/>
    <col min="7" max="7" width="12.00390625" style="8" customWidth="1"/>
    <col min="8" max="8" width="12.625" style="21" customWidth="1"/>
  </cols>
  <sheetData>
    <row r="1" spans="3:5" ht="13.5">
      <c r="C1" s="8" t="s">
        <v>65</v>
      </c>
      <c r="D1" s="8" t="s">
        <v>42</v>
      </c>
      <c r="E1" s="8" t="s">
        <v>68</v>
      </c>
    </row>
    <row r="2" spans="1:2" ht="13.5">
      <c r="A2" t="s">
        <v>59</v>
      </c>
      <c r="B2">
        <v>2</v>
      </c>
    </row>
    <row r="3" spans="1:2" ht="13.5">
      <c r="A3" t="s">
        <v>60</v>
      </c>
      <c r="B3">
        <v>79</v>
      </c>
    </row>
    <row r="4" spans="1:2" ht="13.5">
      <c r="A4" s="7" t="s">
        <v>125</v>
      </c>
      <c r="B4">
        <v>1</v>
      </c>
    </row>
    <row r="5" spans="1:2" ht="13.5">
      <c r="A5" t="s">
        <v>62</v>
      </c>
      <c r="B5">
        <v>8</v>
      </c>
    </row>
    <row r="6" spans="1:2" ht="13.5">
      <c r="A6" t="s">
        <v>61</v>
      </c>
      <c r="B6">
        <v>16</v>
      </c>
    </row>
    <row r="7" spans="1:2" ht="13.5">
      <c r="A7" t="s">
        <v>63</v>
      </c>
      <c r="B7">
        <v>16</v>
      </c>
    </row>
    <row r="8" spans="1:2" ht="13.5">
      <c r="A8" t="s">
        <v>66</v>
      </c>
      <c r="B8" s="8">
        <f>'trainers cost'!I9</f>
        <v>55.94778740299586</v>
      </c>
    </row>
    <row r="9" spans="1:4" ht="13.5">
      <c r="A9" t="s">
        <v>64</v>
      </c>
      <c r="C9" s="8">
        <v>10</v>
      </c>
      <c r="D9" s="8">
        <v>40</v>
      </c>
    </row>
    <row r="12" ht="13.5">
      <c r="A12" s="17" t="s">
        <v>67</v>
      </c>
    </row>
    <row r="13" spans="3:8" ht="54">
      <c r="C13" s="8" t="s">
        <v>65</v>
      </c>
      <c r="D13" s="8" t="s">
        <v>42</v>
      </c>
      <c r="E13" s="8" t="s">
        <v>68</v>
      </c>
      <c r="G13" s="25" t="s">
        <v>129</v>
      </c>
      <c r="H13" s="34" t="s">
        <v>130</v>
      </c>
    </row>
    <row r="14" spans="1:8" ht="13.5">
      <c r="A14" s="10" t="s">
        <v>30</v>
      </c>
      <c r="C14" s="19">
        <f>(B2*B3)+(((B5*B8)+((B6+B7)*B2*B8))/D9)+B4*'production loss &amp; total costs'!J7</f>
        <v>343.2958759498936</v>
      </c>
      <c r="D14" s="19">
        <f>(B2*B3)+(((B5*B8)+((B6+B7)*B2*B8))/C9)+B4*'production loss &amp; total costs'!J7</f>
        <v>645.4139279260712</v>
      </c>
      <c r="E14" s="19">
        <f>AVERAGE(C14:D14)</f>
        <v>494.3549019379824</v>
      </c>
      <c r="G14" s="8">
        <f>(B2*B3)+B4*'production loss &amp; total costs'!J7</f>
        <v>242.58985862450112</v>
      </c>
      <c r="H14" s="21">
        <f>1-(G14/E14)</f>
        <v>0.5092799572260853</v>
      </c>
    </row>
    <row r="15" spans="1:5" ht="13.5">
      <c r="A15" s="10"/>
      <c r="C15" s="19"/>
      <c r="D15" s="19"/>
      <c r="E15" s="19"/>
    </row>
    <row r="16" spans="1:8" ht="27">
      <c r="A16" s="10" t="s">
        <v>35</v>
      </c>
      <c r="C16" s="19">
        <f>(B2*B3)+(((B5*B8)+((B6+B7)*B2*B8))/D9)+B4*'production loss &amp; total costs'!J9</f>
        <v>333.5874710499403</v>
      </c>
      <c r="D16" s="19">
        <f>(B2*B3)+(((B5*B8)+((B6+B7)*B2*B8))/C9)+B4*'production loss &amp; total costs'!J9</f>
        <v>635.7055230261179</v>
      </c>
      <c r="E16" s="19">
        <f aca="true" t="shared" si="0" ref="E16:E24">AVERAGE(C16:D16)</f>
        <v>484.6464970380291</v>
      </c>
      <c r="G16" s="8">
        <f>(B2*B3)+B4*'production loss &amp; total costs'!J9</f>
        <v>232.88145372454778</v>
      </c>
      <c r="H16" s="21">
        <f aca="true" t="shared" si="1" ref="H16:H24">1-(G16/E16)</f>
        <v>0.5194818178861734</v>
      </c>
    </row>
    <row r="17" spans="1:5" ht="13.5">
      <c r="A17" s="10"/>
      <c r="C17" s="19"/>
      <c r="D17" s="19"/>
      <c r="E17" s="19"/>
    </row>
    <row r="18" spans="1:8" ht="13.5">
      <c r="A18" s="10" t="s">
        <v>36</v>
      </c>
      <c r="C18" s="19">
        <f>(B2*B3)+(((B5*B8)+((B6+B7)*B2*B8))/D9)+B4*'production loss &amp; total costs'!J11</f>
        <v>301.2105201227215</v>
      </c>
      <c r="D18" s="19">
        <f>(B2*B3)+(((B5*B8)+((B6+B7)*B2*B8))/C9)+B4*'production loss &amp; total costs'!J11</f>
        <v>603.3285720988991</v>
      </c>
      <c r="E18" s="19">
        <f t="shared" si="0"/>
        <v>452.2695461108103</v>
      </c>
      <c r="G18" s="8">
        <f>(B2*B3)+B4*'production loss &amp; total costs'!J11</f>
        <v>200.504502797329</v>
      </c>
      <c r="H18" s="21">
        <f t="shared" si="1"/>
        <v>0.5566703428928121</v>
      </c>
    </row>
    <row r="19" spans="1:5" ht="13.5">
      <c r="A19" s="10"/>
      <c r="C19" s="19"/>
      <c r="D19" s="19"/>
      <c r="E19" s="19"/>
    </row>
    <row r="20" spans="1:8" ht="13.5">
      <c r="A20" s="10" t="s">
        <v>37</v>
      </c>
      <c r="C20" s="19">
        <f>(B2*B3)+(((B5*B8)+((B6+B7)*B2*B8))/D9)+B4*'production loss &amp; total costs'!J13</f>
        <v>288.22158801533703</v>
      </c>
      <c r="D20" s="19">
        <f>(B2*B3)+(((B5*B8)+((B6+B7)*B2*B8))/C9)+B4*'production loss &amp; total costs'!J13</f>
        <v>590.3396399915147</v>
      </c>
      <c r="E20" s="19">
        <f t="shared" si="0"/>
        <v>439.28061400342585</v>
      </c>
      <c r="G20" s="8">
        <f>(B2*B3)+B4*'production loss &amp; total costs'!J13</f>
        <v>187.5155706899445</v>
      </c>
      <c r="H20" s="21">
        <f t="shared" si="1"/>
        <v>0.5731303301072099</v>
      </c>
    </row>
    <row r="21" spans="1:5" ht="13.5">
      <c r="A21" s="10"/>
      <c r="C21" s="19"/>
      <c r="D21" s="19"/>
      <c r="E21" s="19"/>
    </row>
    <row r="22" spans="1:8" ht="27">
      <c r="A22" s="10" t="s">
        <v>43</v>
      </c>
      <c r="C22" s="19">
        <f>(B2*B3)+(((B5*B8)+((B6+B7)*B2*B8))/D9)+B4*'production loss &amp; total costs'!J15</f>
        <v>295.8519353147351</v>
      </c>
      <c r="D22" s="19">
        <f>(B2*B3)+(((B5*B8)+((B6+B7)*B2*B8))/C9)+B4*'production loss &amp; total costs'!J15</f>
        <v>597.9699872909127</v>
      </c>
      <c r="E22" s="19">
        <f t="shared" si="0"/>
        <v>446.9109613028239</v>
      </c>
      <c r="G22" s="8">
        <f>(B2*B3)+B4*'production loss &amp; total costs'!J15</f>
        <v>195.1459179893426</v>
      </c>
      <c r="H22" s="21">
        <f t="shared" si="1"/>
        <v>0.5633449727425393</v>
      </c>
    </row>
    <row r="23" spans="1:5" ht="13.5">
      <c r="A23" s="10"/>
      <c r="C23" s="19"/>
      <c r="D23" s="19"/>
      <c r="E23" s="19"/>
    </row>
    <row r="24" spans="1:8" ht="13.5">
      <c r="A24" s="10" t="s">
        <v>38</v>
      </c>
      <c r="C24" s="19">
        <f>(B2*B3)+(((B5*B8)+((B6+B7)*B2*B8))/D9)+B4*'production loss &amp; total costs'!J17</f>
        <v>299.18154140901794</v>
      </c>
      <c r="D24" s="19">
        <f>(B2*B3)+(((B5*B8)+((B6+B7)*B2*B8))/C9)+B4*'production loss &amp; total costs'!J17</f>
        <v>601.2995933851955</v>
      </c>
      <c r="E24" s="19">
        <f t="shared" si="0"/>
        <v>450.2405673971067</v>
      </c>
      <c r="G24" s="8">
        <f>(B2*B3)+B4*'production loss &amp; total costs'!J17</f>
        <v>198.47552408362543</v>
      </c>
      <c r="H24" s="21">
        <f t="shared" si="1"/>
        <v>0.5591789402029328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B1">
      <selection activeCell="B14" sqref="B14"/>
    </sheetView>
  </sheetViews>
  <sheetFormatPr defaultColWidth="9.00390625" defaultRowHeight="14.25"/>
  <cols>
    <col min="1" max="1" width="51.75390625" style="0" bestFit="1" customWidth="1"/>
    <col min="2" max="2" width="11.00390625" style="8" customWidth="1"/>
    <col min="3" max="3" width="38.25390625" style="0" bestFit="1" customWidth="1"/>
    <col min="7" max="7" width="38.25390625" style="0" bestFit="1" customWidth="1"/>
  </cols>
  <sheetData>
    <row r="1" ht="13.5">
      <c r="A1" t="s">
        <v>69</v>
      </c>
    </row>
    <row r="2" ht="13.5">
      <c r="C2" s="7"/>
    </row>
    <row r="4" spans="1:2" ht="13.5">
      <c r="A4" s="7" t="s">
        <v>70</v>
      </c>
      <c r="B4" s="8">
        <v>4</v>
      </c>
    </row>
    <row r="5" spans="1:2" ht="13.5">
      <c r="A5" s="7" t="s">
        <v>72</v>
      </c>
      <c r="B5" s="8">
        <v>8</v>
      </c>
    </row>
    <row r="6" spans="1:2" ht="13.5">
      <c r="A6" s="7" t="s">
        <v>73</v>
      </c>
      <c r="B6" s="8">
        <v>8</v>
      </c>
    </row>
    <row r="7" spans="1:2" ht="13.5">
      <c r="A7" s="7" t="s">
        <v>74</v>
      </c>
      <c r="B7" s="8">
        <v>8</v>
      </c>
    </row>
    <row r="8" spans="1:2" ht="13.5">
      <c r="A8" s="7" t="s">
        <v>71</v>
      </c>
      <c r="B8" s="8">
        <v>48</v>
      </c>
    </row>
    <row r="9" spans="1:2" ht="13.5">
      <c r="A9" s="7" t="s">
        <v>75</v>
      </c>
      <c r="B9" s="8">
        <f>'trainers cost'!I9</f>
        <v>55.94778740299586</v>
      </c>
    </row>
    <row r="12" spans="1:2" ht="13.5">
      <c r="A12" s="16" t="s">
        <v>76</v>
      </c>
      <c r="B12" s="19">
        <f>(B5+(B4*B6)+B8)*B9</f>
        <v>4923.405291463636</v>
      </c>
    </row>
    <row r="14" spans="1:2" ht="13.5">
      <c r="A14" s="16" t="s">
        <v>77</v>
      </c>
      <c r="B14" s="19">
        <f>(B5+(B4*B7)+B8)*B9</f>
        <v>4923.405291463636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29.375" style="0" customWidth="1"/>
    <col min="2" max="2" width="17.75390625" style="0" customWidth="1"/>
    <col min="4" max="4" width="27.75390625" style="0" bestFit="1" customWidth="1"/>
    <col min="5" max="5" width="19.00390625" style="0" customWidth="1"/>
    <col min="6" max="6" width="11.875" style="7" customWidth="1"/>
    <col min="9" max="9" width="31.50390625" style="8" bestFit="1" customWidth="1"/>
    <col min="10" max="10" width="9.00390625" style="8" customWidth="1"/>
  </cols>
  <sheetData>
    <row r="1" spans="1:11" ht="13.5">
      <c r="A1" s="17" t="s">
        <v>78</v>
      </c>
      <c r="K1" s="7"/>
    </row>
    <row r="2" spans="9:10" ht="13.5">
      <c r="I2" s="9" t="s">
        <v>124</v>
      </c>
      <c r="J2" s="21">
        <f>'inflation correction'!B16</f>
        <v>1.1100605986907441</v>
      </c>
    </row>
    <row r="3" spans="1:10" ht="13.5">
      <c r="A3" s="20" t="s">
        <v>79</v>
      </c>
      <c r="I3" s="9" t="s">
        <v>86</v>
      </c>
      <c r="J3" s="21">
        <v>0.04</v>
      </c>
    </row>
    <row r="5" spans="1:9" ht="13.5">
      <c r="A5" t="s">
        <v>80</v>
      </c>
      <c r="B5" t="s">
        <v>81</v>
      </c>
      <c r="D5" t="s">
        <v>82</v>
      </c>
      <c r="E5" s="7" t="s">
        <v>126</v>
      </c>
      <c r="G5" t="s">
        <v>127</v>
      </c>
      <c r="I5" s="9" t="s">
        <v>85</v>
      </c>
    </row>
    <row r="6" spans="2:10" ht="13.5">
      <c r="B6" t="s">
        <v>41</v>
      </c>
      <c r="C6" t="s">
        <v>42</v>
      </c>
      <c r="E6" t="s">
        <v>65</v>
      </c>
      <c r="F6" s="7" t="s">
        <v>42</v>
      </c>
      <c r="I6" s="9" t="s">
        <v>41</v>
      </c>
      <c r="J6" s="9" t="s">
        <v>42</v>
      </c>
    </row>
    <row r="7" spans="1:11" ht="13.5">
      <c r="A7" s="7" t="s">
        <v>109</v>
      </c>
      <c r="B7" s="37" t="s">
        <v>131</v>
      </c>
      <c r="C7" s="37" t="s">
        <v>131</v>
      </c>
      <c r="D7" s="7" t="s">
        <v>83</v>
      </c>
      <c r="E7">
        <v>20</v>
      </c>
      <c r="F7" s="7">
        <v>30</v>
      </c>
      <c r="G7" s="7">
        <f>E7*$J$2</f>
        <v>22.201211973814882</v>
      </c>
      <c r="H7" s="7">
        <f>F7*$J$2</f>
        <v>33.301817960722325</v>
      </c>
      <c r="I7" s="38" t="s">
        <v>131</v>
      </c>
      <c r="J7" s="38" t="s">
        <v>131</v>
      </c>
      <c r="K7" s="36"/>
    </row>
    <row r="8" spans="1:10" ht="13.5">
      <c r="A8" s="7" t="s">
        <v>110</v>
      </c>
      <c r="B8" s="8">
        <v>1000</v>
      </c>
      <c r="C8" s="8">
        <v>1000</v>
      </c>
      <c r="D8" s="7" t="s">
        <v>84</v>
      </c>
      <c r="E8" s="7">
        <v>19.4</v>
      </c>
      <c r="F8" s="7">
        <v>19.4</v>
      </c>
      <c r="G8" s="7">
        <f>E8*$J$2</f>
        <v>21.535175614600433</v>
      </c>
      <c r="H8" s="7">
        <f>F8*$J$2</f>
        <v>21.535175614600433</v>
      </c>
      <c r="I8" s="19">
        <f>E8/C8*1000000*J2</f>
        <v>21535.175614600434</v>
      </c>
      <c r="J8" s="19">
        <f>F8/B8*1000000*J2</f>
        <v>21535.175614600434</v>
      </c>
    </row>
    <row r="9" spans="1:7" ht="13.5">
      <c r="A9" s="7"/>
      <c r="D9" s="7"/>
      <c r="E9" s="7"/>
      <c r="G9" s="7"/>
    </row>
    <row r="11" ht="13.5">
      <c r="D11" s="7"/>
    </row>
    <row r="12" spans="1:9" ht="13.5">
      <c r="A12" s="17" t="s">
        <v>103</v>
      </c>
      <c r="B12" s="7" t="s">
        <v>104</v>
      </c>
      <c r="D12" s="7" t="s">
        <v>89</v>
      </c>
      <c r="E12" s="9" t="s">
        <v>85</v>
      </c>
      <c r="I12" s="19" t="s">
        <v>111</v>
      </c>
    </row>
    <row r="13" spans="1:11" ht="13.5">
      <c r="A13" s="20" t="s">
        <v>97</v>
      </c>
      <c r="B13" s="7" t="s">
        <v>41</v>
      </c>
      <c r="C13" s="7" t="s">
        <v>42</v>
      </c>
      <c r="E13" s="7" t="s">
        <v>41</v>
      </c>
      <c r="F13" s="7" t="s">
        <v>42</v>
      </c>
      <c r="G13" s="7" t="s">
        <v>68</v>
      </c>
      <c r="I13" s="7" t="s">
        <v>41</v>
      </c>
      <c r="J13" s="7" t="s">
        <v>42</v>
      </c>
      <c r="K13" s="7" t="s">
        <v>68</v>
      </c>
    </row>
    <row r="14" spans="1:14" ht="13.5">
      <c r="A14" s="22" t="s">
        <v>87</v>
      </c>
      <c r="B14" s="8">
        <f>'production loss &amp; total costs'!K7</f>
        <v>106.96897358569944</v>
      </c>
      <c r="C14" s="8">
        <f>'production loss &amp; total costs'!L7</f>
        <v>383.1176644204011</v>
      </c>
      <c r="D14">
        <v>4</v>
      </c>
      <c r="E14" s="19">
        <f>discounting!C10+discounting!G10+discounting!K10+discounting!O10</f>
        <v>343.3801870533257</v>
      </c>
      <c r="F14" s="19">
        <f>discounting!C26+discounting!G26+discounting!K26+discounting!O26</f>
        <v>1229.8427372186923</v>
      </c>
      <c r="G14" s="8">
        <f>AVERAGE(E14:F14)</f>
        <v>786.611462136009</v>
      </c>
      <c r="I14" s="19">
        <f>E14+E25+E38</f>
        <v>4342.434070647986</v>
      </c>
      <c r="J14" s="19">
        <f>F14+F25+F38</f>
        <v>8752.161462251894</v>
      </c>
      <c r="K14" s="8">
        <f>AVERAGE(I14:J14)</f>
        <v>6547.297766449939</v>
      </c>
      <c r="N14" s="7"/>
    </row>
    <row r="15" spans="1:11" ht="40.5">
      <c r="A15" s="22" t="s">
        <v>35</v>
      </c>
      <c r="B15" s="8">
        <f>'production loss &amp; total costs'!K9</f>
        <v>97.26056868574614</v>
      </c>
      <c r="C15" s="8">
        <f>'production loss &amp; total costs'!L9</f>
        <v>344.2840448205879</v>
      </c>
      <c r="D15">
        <v>4</v>
      </c>
      <c r="E15" s="19">
        <f>discounting!C11+discounting!G11+discounting!K11+discounting!O11</f>
        <v>312.2153195334501</v>
      </c>
      <c r="F15" s="19">
        <f>discounting!C27+discounting!G27+discounting!K27+discounting!O27</f>
        <v>1105.18326713919</v>
      </c>
      <c r="G15" s="8">
        <f aca="true" t="shared" si="0" ref="G15:G21">AVERAGE(E15:F15)</f>
        <v>708.6992933363201</v>
      </c>
      <c r="I15" s="19">
        <f aca="true" t="shared" si="1" ref="I15:J18">E15+E26+E38</f>
        <v>4199.009723821027</v>
      </c>
      <c r="J15" s="19">
        <f t="shared" si="1"/>
        <v>8515.24251286531</v>
      </c>
      <c r="K15" s="8">
        <f aca="true" t="shared" si="2" ref="K15:K22">AVERAGE(I15:J15)</f>
        <v>6357.126118343169</v>
      </c>
    </row>
    <row r="16" spans="1:11" ht="27">
      <c r="A16" s="22" t="s">
        <v>88</v>
      </c>
      <c r="B16" s="8">
        <f>'production loss &amp; total costs'!K11</f>
        <v>64.88361775852735</v>
      </c>
      <c r="C16" s="8">
        <f>'production loss &amp; total costs'!L11</f>
        <v>214.7762411117127</v>
      </c>
      <c r="D16">
        <v>4</v>
      </c>
      <c r="E16" s="19">
        <f>discounting!C12+discounting!G12+discounting!K12+discounting!O12</f>
        <v>208.2823463269929</v>
      </c>
      <c r="F16" s="19">
        <f>discounting!C28+discounting!G28+discounting!K28+discounting!O28</f>
        <v>689.4513743133608</v>
      </c>
      <c r="G16" s="8">
        <f t="shared" si="0"/>
        <v>448.86686032017684</v>
      </c>
      <c r="I16" s="19">
        <f t="shared" si="1"/>
        <v>3730.603860482763</v>
      </c>
      <c r="J16" s="19">
        <f t="shared" si="1"/>
        <v>7705.2010626771</v>
      </c>
      <c r="K16" s="8">
        <f t="shared" si="2"/>
        <v>5717.902461579932</v>
      </c>
    </row>
    <row r="17" spans="1:11" ht="27">
      <c r="A17" s="22" t="s">
        <v>37</v>
      </c>
      <c r="B17" s="8">
        <f>'production loss &amp; total costs'!K13</f>
        <v>51.89468565114284</v>
      </c>
      <c r="C17" s="8">
        <f>'production loss &amp; total costs'!L13</f>
        <v>162.82051268217467</v>
      </c>
      <c r="D17">
        <v>4</v>
      </c>
      <c r="E17" s="19">
        <f>discounting!C13+discounting!G13+discounting!K13+discounting!O13</f>
        <v>166.58668648144572</v>
      </c>
      <c r="F17" s="19">
        <f>discounting!C29+discounting!G29+discounting!K29+discounting!O29</f>
        <v>522.6687349311724</v>
      </c>
      <c r="G17" s="8">
        <f t="shared" si="0"/>
        <v>344.627710706309</v>
      </c>
      <c r="I17" s="19">
        <f t="shared" si="1"/>
        <v>3516.8285954008215</v>
      </c>
      <c r="J17" s="19">
        <f t="shared" si="1"/>
        <v>7368.283290922447</v>
      </c>
      <c r="K17" s="8">
        <f t="shared" si="2"/>
        <v>5442.555943161635</v>
      </c>
    </row>
    <row r="18" spans="1:14" ht="27">
      <c r="A18" s="22" t="s">
        <v>43</v>
      </c>
      <c r="B18" s="8">
        <f>'production loss &amp; total costs'!K15</f>
        <v>59.52503295054095</v>
      </c>
      <c r="C18" s="8">
        <f>'production loss &amp; total costs'!L15</f>
        <v>193.3419018797671</v>
      </c>
      <c r="D18">
        <v>4</v>
      </c>
      <c r="E18" s="19">
        <f>discounting!C14+discounting!G14+discounting!K14+discounting!O14</f>
        <v>191.0807990742905</v>
      </c>
      <c r="F18" s="19">
        <f>discounting!C30+discounting!G30+discounting!K30+discounting!O30</f>
        <v>620.6451853025515</v>
      </c>
      <c r="G18" s="8">
        <f t="shared" si="0"/>
        <v>405.862992188421</v>
      </c>
      <c r="I18" s="19">
        <f t="shared" si="1"/>
        <v>3641.534564846855</v>
      </c>
      <c r="J18" s="19">
        <f t="shared" si="1"/>
        <v>7594.363792513658</v>
      </c>
      <c r="K18" s="8">
        <f t="shared" si="2"/>
        <v>5617.949178680256</v>
      </c>
      <c r="N18" s="7"/>
    </row>
    <row r="19" spans="1:11" ht="13.5">
      <c r="A19" s="22" t="s">
        <v>38</v>
      </c>
      <c r="B19" s="8">
        <f>'production loss &amp; total costs'!K17</f>
        <v>62.854639044823756</v>
      </c>
      <c r="C19" s="8">
        <f>'production loss &amp; total costs'!L17</f>
        <v>206.66032625689834</v>
      </c>
      <c r="D19">
        <v>4</v>
      </c>
      <c r="E19" s="19">
        <f>discounting!C15+discounting!G15+discounting!K15+discounting!O15</f>
        <v>201.76913911480457</v>
      </c>
      <c r="F19" s="19">
        <f>discounting!C31+discounting!G31+discounting!K31+discounting!O31</f>
        <v>663.3985454646079</v>
      </c>
      <c r="G19" s="8">
        <f t="shared" si="0"/>
        <v>432.58384228970624</v>
      </c>
      <c r="I19" s="19">
        <f>E19+E30+E38</f>
        <v>3690.723549462223</v>
      </c>
      <c r="J19" s="19">
        <f>F19+F30+F38</f>
        <v>7675.617797250567</v>
      </c>
      <c r="K19" s="8">
        <f t="shared" si="2"/>
        <v>5683.170673356395</v>
      </c>
    </row>
    <row r="20" spans="1:11" ht="13.5">
      <c r="A20" s="22" t="s">
        <v>39</v>
      </c>
      <c r="B20" s="8">
        <f>'production loss &amp; total costs'!K19</f>
        <v>62.854639044823756</v>
      </c>
      <c r="C20" s="8">
        <f>'production loss &amp; total costs'!L19</f>
        <v>206.66032625689834</v>
      </c>
      <c r="D20">
        <v>4</v>
      </c>
      <c r="E20" s="19">
        <f>discounting!C16+discounting!G16+discounting!K16+discounting!O16</f>
        <v>201.76913911480457</v>
      </c>
      <c r="F20" s="19">
        <f>discounting!C32+discounting!G32+discounting!K32+discounting!O32</f>
        <v>663.3985454646079</v>
      </c>
      <c r="G20" s="8">
        <f t="shared" si="0"/>
        <v>432.58384228970624</v>
      </c>
      <c r="I20" s="19">
        <f>E20+E31+E38+E30</f>
        <v>3690.723549462223</v>
      </c>
      <c r="J20" s="19">
        <f>F20+F31+F38+F30</f>
        <v>7675.617797250567</v>
      </c>
      <c r="K20" s="8">
        <f t="shared" si="2"/>
        <v>5683.170673356395</v>
      </c>
    </row>
    <row r="21" spans="1:14" ht="13.5">
      <c r="A21" s="22" t="s">
        <v>40</v>
      </c>
      <c r="B21" s="8">
        <f>'production loss &amp; total costs'!K21</f>
        <v>65.87209456776755</v>
      </c>
      <c r="C21" s="8">
        <f>'production loss &amp; total costs'!L21</f>
        <v>218.7301483486735</v>
      </c>
      <c r="D21">
        <v>4</v>
      </c>
      <c r="E21" s="19">
        <f>discounting!C17+discounting!G17+discounting!K17+discounting!O17</f>
        <v>211.45544727652046</v>
      </c>
      <c r="F21" s="19">
        <f>discounting!C33+discounting!G33+discounting!K33+discounting!O33</f>
        <v>702.1437781114712</v>
      </c>
      <c r="G21" s="8">
        <f t="shared" si="0"/>
        <v>456.7996126939958</v>
      </c>
      <c r="I21" s="19">
        <f>E21+E32+E38+E30</f>
        <v>3700.409857623939</v>
      </c>
      <c r="J21" s="19">
        <f>F21+F32+F38+F30</f>
        <v>7714.36302989743</v>
      </c>
      <c r="K21" s="8">
        <f t="shared" si="2"/>
        <v>5707.386443760684</v>
      </c>
      <c r="N21" s="7"/>
    </row>
    <row r="22" spans="9:14" ht="13.5">
      <c r="I22" s="19">
        <f>E30+E38</f>
        <v>3488.9544103474186</v>
      </c>
      <c r="J22" s="19">
        <f>F30+F38</f>
        <v>7012.2192517859585</v>
      </c>
      <c r="K22" s="8">
        <f t="shared" si="2"/>
        <v>5250.586831066688</v>
      </c>
      <c r="N22" s="7"/>
    </row>
    <row r="23" spans="1:5" ht="13.5">
      <c r="A23" s="17" t="s">
        <v>106</v>
      </c>
      <c r="B23" s="7" t="s">
        <v>105</v>
      </c>
      <c r="E23" s="9" t="s">
        <v>85</v>
      </c>
    </row>
    <row r="24" spans="2:6" ht="13.5">
      <c r="B24" t="s">
        <v>99</v>
      </c>
      <c r="C24" t="s">
        <v>100</v>
      </c>
      <c r="E24" t="s">
        <v>99</v>
      </c>
      <c r="F24" t="s">
        <v>100</v>
      </c>
    </row>
    <row r="25" spans="1:14" ht="13.5">
      <c r="A25" s="24" t="s">
        <v>87</v>
      </c>
      <c r="B25" s="8">
        <f>'biomonitoring '!$C$14</f>
        <v>343.2958759498936</v>
      </c>
      <c r="C25" s="8">
        <f>'biomonitoring '!$D$14</f>
        <v>645.4139279260712</v>
      </c>
      <c r="E25" s="19">
        <f>SUM(discounting!C37:Q37)</f>
        <v>3969.5724147835012</v>
      </c>
      <c r="F25" s="19">
        <f>SUM(discounting!C45:Q45)</f>
        <v>7463.00058899147</v>
      </c>
      <c r="G25" s="8">
        <f aca="true" t="shared" si="3" ref="G25:G30">AVERAGE(E25:F25)</f>
        <v>5716.286501887485</v>
      </c>
      <c r="N25" s="7"/>
    </row>
    <row r="26" spans="1:14" ht="40.5">
      <c r="A26" s="25" t="s">
        <v>35</v>
      </c>
      <c r="B26" s="8">
        <f>'biomonitoring '!$C$16</f>
        <v>333.5874710499403</v>
      </c>
      <c r="C26" s="8">
        <f>'biomonitoring '!$D$16</f>
        <v>635.7055230261179</v>
      </c>
      <c r="E26" s="19">
        <f>SUM(discounting!C38:Q38)</f>
        <v>3857.3129354764183</v>
      </c>
      <c r="F26" s="19">
        <f>SUM(discounting!C46:Q46)</f>
        <v>7350.741109684389</v>
      </c>
      <c r="G26" s="8">
        <f t="shared" si="3"/>
        <v>5604.027022580403</v>
      </c>
      <c r="K26" t="s">
        <v>132</v>
      </c>
      <c r="N26" s="7"/>
    </row>
    <row r="27" spans="1:14" ht="27">
      <c r="A27" s="24" t="s">
        <v>88</v>
      </c>
      <c r="B27" s="8">
        <f>'biomonitoring '!$C$18</f>
        <v>301.2105201227215</v>
      </c>
      <c r="C27" s="8">
        <f>'biomonitoring '!$D$18</f>
        <v>603.3285720988991</v>
      </c>
      <c r="E27" s="19">
        <f>SUM(discounting!C39:Q39)</f>
        <v>3482.9342718240614</v>
      </c>
      <c r="F27" s="19">
        <f>SUM(discounting!C47:Q47)</f>
        <v>6976.36244603203</v>
      </c>
      <c r="G27" s="8">
        <f t="shared" si="3"/>
        <v>5229.648358928045</v>
      </c>
      <c r="N27" s="7"/>
    </row>
    <row r="28" spans="1:14" ht="16.5" customHeight="1">
      <c r="A28" s="24" t="s">
        <v>37</v>
      </c>
      <c r="B28" s="8">
        <f>'biomonitoring '!$C$20</f>
        <v>288.22158801533703</v>
      </c>
      <c r="C28" s="8">
        <f>'biomonitoring '!$D$20</f>
        <v>590.3396399915147</v>
      </c>
      <c r="E28" s="19">
        <f>SUM(discounting!C40:Q40)</f>
        <v>3332.7416531440313</v>
      </c>
      <c r="F28" s="19">
        <f>SUM(discounting!C48:Q48)</f>
        <v>6826.169827352003</v>
      </c>
      <c r="G28" s="8">
        <f t="shared" si="3"/>
        <v>5079.455740248017</v>
      </c>
      <c r="N28" s="7"/>
    </row>
    <row r="29" spans="1:14" ht="16.5" customHeight="1">
      <c r="A29" s="24" t="s">
        <v>43</v>
      </c>
      <c r="B29" s="8">
        <f>'biomonitoring '!$C$22</f>
        <v>295.8519353147351</v>
      </c>
      <c r="C29" s="8">
        <f>'biomonitoring '!$D$22</f>
        <v>597.9699872909127</v>
      </c>
      <c r="E29" s="19">
        <f>SUM(discounting!C41:Q41)</f>
        <v>3420.972296961405</v>
      </c>
      <c r="F29" s="19">
        <f>SUM(discounting!C49:Q49)</f>
        <v>6914.400471169376</v>
      </c>
      <c r="G29" s="8">
        <f t="shared" si="3"/>
        <v>5167.6863840653905</v>
      </c>
      <c r="N29" s="7"/>
    </row>
    <row r="30" spans="1:14" ht="16.5" customHeight="1">
      <c r="A30" s="24" t="s">
        <v>38</v>
      </c>
      <c r="B30" s="8">
        <f>'biomonitoring '!$C$24</f>
        <v>299.18154140901794</v>
      </c>
      <c r="C30" s="8">
        <f>'biomonitoring '!$D$24</f>
        <v>601.2995933851955</v>
      </c>
      <c r="E30" s="19">
        <f>SUM(discounting!C42:Q42)</f>
        <v>3459.472941536259</v>
      </c>
      <c r="F30" s="19">
        <f>SUM(discounting!C50:Q50)</f>
        <v>6952.901115744228</v>
      </c>
      <c r="G30" s="8">
        <f t="shared" si="3"/>
        <v>5206.187028640244</v>
      </c>
      <c r="N30" s="7"/>
    </row>
    <row r="31" spans="1:14" ht="16.5" customHeight="1">
      <c r="A31" s="22"/>
      <c r="B31" s="9"/>
      <c r="C31" s="9"/>
      <c r="E31" s="19"/>
      <c r="F31" s="19"/>
      <c r="N31" s="7"/>
    </row>
    <row r="32" spans="1:14" ht="13.5">
      <c r="A32" s="22"/>
      <c r="B32" s="9"/>
      <c r="C32" s="9"/>
      <c r="E32" s="19"/>
      <c r="F32" s="19"/>
      <c r="N32" s="7"/>
    </row>
    <row r="33" spans="1:14" ht="13.5">
      <c r="A33" s="22"/>
      <c r="B33" s="9"/>
      <c r="C33" s="9"/>
      <c r="E33" s="19"/>
      <c r="F33" s="19"/>
      <c r="N33" s="7"/>
    </row>
    <row r="34" spans="1:14" ht="13.5">
      <c r="A34" s="22"/>
      <c r="B34" s="9"/>
      <c r="C34" s="9"/>
      <c r="E34" s="19"/>
      <c r="F34" s="19"/>
      <c r="N34" s="7"/>
    </row>
    <row r="36" spans="1:14" ht="13.5">
      <c r="A36" s="17" t="s">
        <v>107</v>
      </c>
      <c r="B36" s="7" t="s">
        <v>108</v>
      </c>
      <c r="C36" s="7" t="s">
        <v>102</v>
      </c>
      <c r="E36" t="s">
        <v>85</v>
      </c>
      <c r="N36" s="7"/>
    </row>
    <row r="37" spans="1:7" ht="13.5">
      <c r="A37" s="20"/>
      <c r="C37" s="7" t="s">
        <v>41</v>
      </c>
      <c r="D37" s="7" t="s">
        <v>42</v>
      </c>
      <c r="E37" s="7" t="s">
        <v>41</v>
      </c>
      <c r="F37" s="7" t="s">
        <v>42</v>
      </c>
      <c r="G37" s="7" t="s">
        <v>68</v>
      </c>
    </row>
    <row r="38" spans="1:7" ht="13.5">
      <c r="A38" s="7" t="s">
        <v>101</v>
      </c>
      <c r="B38" s="8">
        <f>'DU CSR'!B12</f>
        <v>4923.405291463636</v>
      </c>
      <c r="C38" s="7">
        <f>C41</f>
        <v>83</v>
      </c>
      <c r="D38" s="7">
        <f>D41</f>
        <v>167</v>
      </c>
      <c r="E38" s="19">
        <f>B38/D38</f>
        <v>29.481468811159495</v>
      </c>
      <c r="F38" s="19">
        <f>B38/C38</f>
        <v>59.318136041730554</v>
      </c>
      <c r="G38" s="8">
        <f>AVERAGE(E38:F38)</f>
        <v>44.39980242644502</v>
      </c>
    </row>
    <row r="39" spans="1:7" ht="27">
      <c r="A39" s="22" t="s">
        <v>88</v>
      </c>
      <c r="B39" s="8">
        <f>'DU CSR'!B12</f>
        <v>4923.405291463636</v>
      </c>
      <c r="C39">
        <v>125</v>
      </c>
      <c r="D39">
        <v>125</v>
      </c>
      <c r="E39" s="19">
        <f>B39/D39</f>
        <v>39.38724233170909</v>
      </c>
      <c r="F39" s="19">
        <f>B39/C39</f>
        <v>39.38724233170909</v>
      </c>
      <c r="G39" s="8">
        <f>AVERAGE(E39:F39)</f>
        <v>39.38724233170909</v>
      </c>
    </row>
    <row r="40" spans="1:7" ht="27">
      <c r="A40" s="22" t="s">
        <v>37</v>
      </c>
      <c r="B40" s="8">
        <f>'DU CSR'!B12</f>
        <v>4923.405291463636</v>
      </c>
      <c r="C40">
        <f>3798/15</f>
        <v>253.2</v>
      </c>
      <c r="D40">
        <f>4220/15</f>
        <v>281.3333333333333</v>
      </c>
      <c r="E40" s="19">
        <f>B40/D40</f>
        <v>17.50025577534468</v>
      </c>
      <c r="F40" s="19">
        <f>B40/C40</f>
        <v>19.444728639271865</v>
      </c>
      <c r="G40" s="8">
        <f>AVERAGE(E40:F40)</f>
        <v>18.47249220730827</v>
      </c>
    </row>
    <row r="41" spans="1:7" ht="27">
      <c r="A41" s="22" t="s">
        <v>43</v>
      </c>
      <c r="B41" s="8">
        <f>'DU CSR'!B12</f>
        <v>4923.405291463636</v>
      </c>
      <c r="C41">
        <v>83</v>
      </c>
      <c r="D41">
        <v>167</v>
      </c>
      <c r="E41" s="19">
        <f>B41/D41</f>
        <v>29.481468811159495</v>
      </c>
      <c r="F41" s="19">
        <f>B41/C41</f>
        <v>59.318136041730554</v>
      </c>
      <c r="G41" s="8">
        <f>AVERAGE(E41:F41)</f>
        <v>44.39980242644502</v>
      </c>
    </row>
    <row r="42" ht="13.5">
      <c r="F42"/>
    </row>
    <row r="43" ht="13.5">
      <c r="F43"/>
    </row>
    <row r="44" ht="13.5">
      <c r="F44"/>
    </row>
    <row r="45" ht="13.5">
      <c r="F45"/>
    </row>
    <row r="46" ht="13.5">
      <c r="F46"/>
    </row>
    <row r="47" ht="13.5">
      <c r="F47"/>
    </row>
    <row r="48" ht="13.5">
      <c r="F48"/>
    </row>
    <row r="49" spans="6:9" ht="13.5">
      <c r="F49"/>
      <c r="I49" s="24"/>
    </row>
    <row r="50" spans="6:9" ht="13.5">
      <c r="F50"/>
      <c r="I50" s="25"/>
    </row>
    <row r="51" ht="13.5">
      <c r="I51" s="24"/>
    </row>
    <row r="52" ht="13.5">
      <c r="I52" s="24"/>
    </row>
    <row r="53" ht="13.5">
      <c r="I53" s="24"/>
    </row>
    <row r="54" ht="13.5">
      <c r="I5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0"/>
  <sheetViews>
    <sheetView zoomScalePageLayoutView="0" workbookViewId="0" topLeftCell="D1">
      <selection activeCell="J56" sqref="J56"/>
    </sheetView>
  </sheetViews>
  <sheetFormatPr defaultColWidth="9.00390625" defaultRowHeight="14.25"/>
  <cols>
    <col min="1" max="1" width="24.50390625" style="0" customWidth="1"/>
    <col min="2" max="2" width="12.25390625" style="0" customWidth="1"/>
  </cols>
  <sheetData>
    <row r="1" spans="1:2" ht="13.5">
      <c r="A1" s="17" t="s">
        <v>90</v>
      </c>
      <c r="B1" s="17"/>
    </row>
    <row r="2" spans="10:18" ht="13.5">
      <c r="J2" s="26"/>
      <c r="R2" s="27"/>
    </row>
    <row r="4" spans="1:2" ht="13.5">
      <c r="A4" s="17" t="s">
        <v>91</v>
      </c>
      <c r="B4" s="7" t="s">
        <v>94</v>
      </c>
    </row>
    <row r="6" spans="1:43" ht="13.5">
      <c r="A6" s="7" t="s">
        <v>92</v>
      </c>
      <c r="B6" s="7"/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>
        <v>13</v>
      </c>
      <c r="Q6">
        <v>14</v>
      </c>
      <c r="R6">
        <v>15</v>
      </c>
      <c r="S6">
        <v>16</v>
      </c>
      <c r="T6">
        <v>17</v>
      </c>
      <c r="U6">
        <v>18</v>
      </c>
      <c r="V6">
        <v>19</v>
      </c>
      <c r="W6">
        <v>20</v>
      </c>
      <c r="X6">
        <v>21</v>
      </c>
      <c r="Y6">
        <v>22</v>
      </c>
      <c r="Z6">
        <v>23</v>
      </c>
      <c r="AA6">
        <v>24</v>
      </c>
      <c r="AB6">
        <v>25</v>
      </c>
      <c r="AC6">
        <v>26</v>
      </c>
      <c r="AD6">
        <v>27</v>
      </c>
      <c r="AE6">
        <v>28</v>
      </c>
      <c r="AF6">
        <v>29</v>
      </c>
      <c r="AG6">
        <v>30</v>
      </c>
      <c r="AH6">
        <v>31</v>
      </c>
      <c r="AI6">
        <v>32</v>
      </c>
      <c r="AJ6">
        <v>33</v>
      </c>
      <c r="AK6">
        <v>34</v>
      </c>
      <c r="AL6">
        <v>35</v>
      </c>
      <c r="AM6">
        <v>36</v>
      </c>
      <c r="AN6">
        <v>37</v>
      </c>
      <c r="AO6">
        <v>38</v>
      </c>
      <c r="AP6">
        <v>39</v>
      </c>
      <c r="AQ6">
        <v>40</v>
      </c>
    </row>
    <row r="7" spans="1:2" ht="13.5">
      <c r="A7" s="7" t="s">
        <v>93</v>
      </c>
      <c r="B7" s="23">
        <f>Proportionality!J3</f>
        <v>0.04</v>
      </c>
    </row>
    <row r="8" spans="1:17" ht="13.5">
      <c r="A8" s="7" t="s">
        <v>95</v>
      </c>
      <c r="C8">
        <f>+(1+$B$7)^-C6</f>
        <v>1</v>
      </c>
      <c r="D8">
        <f>+(1+$B$7)^-D6</f>
        <v>0.9615384615384615</v>
      </c>
      <c r="E8">
        <f aca="true" t="shared" si="0" ref="E8:Q8">+(1+$B$7)^-E6</f>
        <v>0.9245562130177514</v>
      </c>
      <c r="F8">
        <f t="shared" si="0"/>
        <v>0.8889963586709149</v>
      </c>
      <c r="G8">
        <f t="shared" si="0"/>
        <v>0.8548041910297257</v>
      </c>
      <c r="H8">
        <f t="shared" si="0"/>
        <v>0.8219271067593515</v>
      </c>
      <c r="I8">
        <f t="shared" si="0"/>
        <v>0.7903145257301457</v>
      </c>
      <c r="J8">
        <f t="shared" si="0"/>
        <v>0.7599178132020633</v>
      </c>
      <c r="K8">
        <f t="shared" si="0"/>
        <v>0.7306902050019838</v>
      </c>
      <c r="L8">
        <f t="shared" si="0"/>
        <v>0.7025867355788304</v>
      </c>
      <c r="M8">
        <f t="shared" si="0"/>
        <v>0.6755641688257985</v>
      </c>
      <c r="N8">
        <f t="shared" si="0"/>
        <v>0.6495809315632679</v>
      </c>
      <c r="O8">
        <f t="shared" si="0"/>
        <v>0.6245970495800651</v>
      </c>
      <c r="P8">
        <f t="shared" si="0"/>
        <v>0.600574086134678</v>
      </c>
      <c r="Q8">
        <f t="shared" si="0"/>
        <v>0.5774750828218058</v>
      </c>
    </row>
    <row r="9" ht="13.5">
      <c r="A9" s="7"/>
    </row>
    <row r="10" spans="1:17" s="8" customFormat="1" ht="13.5">
      <c r="A10" s="24" t="s">
        <v>87</v>
      </c>
      <c r="C10" s="8">
        <f>'production loss &amp; total costs'!K7</f>
        <v>106.96897358569944</v>
      </c>
      <c r="D10" s="8">
        <f>$C$10*D8</f>
        <v>102.85478229394177</v>
      </c>
      <c r="E10" s="8">
        <f aca="true" t="shared" si="1" ref="E10:Q10">$C$10*E8</f>
        <v>98.89882912879015</v>
      </c>
      <c r="F10" s="8">
        <f t="shared" si="1"/>
        <v>95.09502800845208</v>
      </c>
      <c r="G10" s="8">
        <f t="shared" si="1"/>
        <v>91.4375269312039</v>
      </c>
      <c r="H10" s="8">
        <f t="shared" si="1"/>
        <v>87.92069897231144</v>
      </c>
      <c r="I10" s="8">
        <f t="shared" si="1"/>
        <v>84.53913362722254</v>
      </c>
      <c r="J10" s="8">
        <f t="shared" si="1"/>
        <v>81.28762848771399</v>
      </c>
      <c r="K10" s="8">
        <f t="shared" si="1"/>
        <v>78.16118123818651</v>
      </c>
      <c r="L10" s="8">
        <f t="shared" si="1"/>
        <v>75.15498195979471</v>
      </c>
      <c r="M10" s="8">
        <f t="shared" si="1"/>
        <v>72.26440573057184</v>
      </c>
      <c r="N10" s="8">
        <f t="shared" si="1"/>
        <v>69.48500551016524</v>
      </c>
      <c r="O10" s="8">
        <f t="shared" si="1"/>
        <v>66.81250529823579</v>
      </c>
      <c r="P10" s="8">
        <f t="shared" si="1"/>
        <v>64.24279355599596</v>
      </c>
      <c r="Q10" s="8">
        <f t="shared" si="1"/>
        <v>61.771916880765346</v>
      </c>
    </row>
    <row r="11" spans="1:17" s="8" customFormat="1" ht="54">
      <c r="A11" s="25" t="s">
        <v>35</v>
      </c>
      <c r="C11" s="8">
        <f>'production loss &amp; total costs'!K9</f>
        <v>97.26056868574614</v>
      </c>
      <c r="D11" s="8">
        <f>$C$11*D8</f>
        <v>93.5197775824482</v>
      </c>
      <c r="E11" s="8">
        <f aca="true" t="shared" si="2" ref="E11:Q11">$C$11*E8</f>
        <v>89.92286306004634</v>
      </c>
      <c r="F11" s="8">
        <f t="shared" si="2"/>
        <v>86.46429140389073</v>
      </c>
      <c r="G11" s="8">
        <f t="shared" si="2"/>
        <v>83.1387417345103</v>
      </c>
      <c r="H11" s="8">
        <f t="shared" si="2"/>
        <v>79.9410978216445</v>
      </c>
      <c r="I11" s="8">
        <f t="shared" si="2"/>
        <v>76.86644021311972</v>
      </c>
      <c r="J11" s="8">
        <f t="shared" si="2"/>
        <v>73.91003866646128</v>
      </c>
      <c r="K11" s="8">
        <f t="shared" si="2"/>
        <v>71.06734487159737</v>
      </c>
      <c r="L11" s="8">
        <f t="shared" si="2"/>
        <v>68.333985453459</v>
      </c>
      <c r="M11" s="8">
        <f t="shared" si="2"/>
        <v>65.70575524371057</v>
      </c>
      <c r="N11" s="8">
        <f t="shared" si="2"/>
        <v>63.17861081126018</v>
      </c>
      <c r="O11" s="8">
        <f t="shared" si="2"/>
        <v>60.74866424159631</v>
      </c>
      <c r="P11" s="8">
        <f t="shared" si="2"/>
        <v>58.412177155381066</v>
      </c>
      <c r="Q11" s="8">
        <f t="shared" si="2"/>
        <v>56.165554957097186</v>
      </c>
    </row>
    <row r="12" spans="1:17" s="8" customFormat="1" ht="40.5">
      <c r="A12" s="24" t="s">
        <v>88</v>
      </c>
      <c r="C12" s="8">
        <f>'production loss &amp; total costs'!K11</f>
        <v>64.88361775852735</v>
      </c>
      <c r="D12" s="8">
        <f>$C$12*D8</f>
        <v>62.38809399858398</v>
      </c>
      <c r="E12" s="8">
        <f aca="true" t="shared" si="3" ref="E12:Q12">$C$12*E8</f>
        <v>59.98855192171537</v>
      </c>
      <c r="F12" s="8">
        <f t="shared" si="3"/>
        <v>57.681299924726325</v>
      </c>
      <c r="G12" s="8">
        <f t="shared" si="3"/>
        <v>55.46278838915992</v>
      </c>
      <c r="H12" s="8">
        <f t="shared" si="3"/>
        <v>53.32960422034607</v>
      </c>
      <c r="I12" s="8">
        <f t="shared" si="3"/>
        <v>51.278465596486605</v>
      </c>
      <c r="J12" s="8">
        <f t="shared" si="3"/>
        <v>49.30621691969866</v>
      </c>
      <c r="K12" s="8">
        <f t="shared" si="3"/>
        <v>47.409823961248705</v>
      </c>
      <c r="L12" s="8">
        <f t="shared" si="3"/>
        <v>45.58636919350836</v>
      </c>
      <c r="M12" s="8">
        <f t="shared" si="3"/>
        <v>43.83304730145035</v>
      </c>
      <c r="N12" s="8">
        <f t="shared" si="3"/>
        <v>42.14716086677919</v>
      </c>
      <c r="O12" s="8">
        <f t="shared" si="3"/>
        <v>40.5261162180569</v>
      </c>
      <c r="P12" s="8">
        <f t="shared" si="3"/>
        <v>38.96741944043933</v>
      </c>
      <c r="Q12" s="8">
        <f t="shared" si="3"/>
        <v>37.46867253888397</v>
      </c>
    </row>
    <row r="13" spans="1:17" s="8" customFormat="1" ht="27">
      <c r="A13" s="24" t="s">
        <v>37</v>
      </c>
      <c r="C13" s="8">
        <f>'production loss &amp; total costs'!K13</f>
        <v>51.89468565114284</v>
      </c>
      <c r="D13" s="8">
        <f>$C$13*D8</f>
        <v>49.898736203021954</v>
      </c>
      <c r="E13" s="8">
        <f aca="true" t="shared" si="4" ref="E13:Q13">$C$13*E8</f>
        <v>47.979554041367265</v>
      </c>
      <c r="F13" s="8">
        <f t="shared" si="4"/>
        <v>46.13418657823776</v>
      </c>
      <c r="G13" s="8">
        <f t="shared" si="4"/>
        <v>44.35979478676707</v>
      </c>
      <c r="H13" s="8">
        <f t="shared" si="4"/>
        <v>42.65364883342987</v>
      </c>
      <c r="I13" s="8">
        <f t="shared" si="4"/>
        <v>41.01312387829795</v>
      </c>
      <c r="J13" s="8">
        <f t="shared" si="4"/>
        <v>39.43569603682496</v>
      </c>
      <c r="K13" s="8">
        <f t="shared" si="4"/>
        <v>37.918938496947064</v>
      </c>
      <c r="L13" s="8">
        <f t="shared" si="4"/>
        <v>36.460517785526015</v>
      </c>
      <c r="M13" s="8">
        <f t="shared" si="4"/>
        <v>35.058190178390404</v>
      </c>
      <c r="N13" s="8">
        <f t="shared" si="4"/>
        <v>33.709798248452316</v>
      </c>
      <c r="O13" s="8">
        <f t="shared" si="4"/>
        <v>32.413267546588756</v>
      </c>
      <c r="P13" s="8">
        <f t="shared" si="4"/>
        <v>31.166603410181498</v>
      </c>
      <c r="Q13" s="8">
        <f t="shared" si="4"/>
        <v>29.967887894405287</v>
      </c>
    </row>
    <row r="14" spans="1:17" s="8" customFormat="1" ht="40.5">
      <c r="A14" s="24" t="s">
        <v>43</v>
      </c>
      <c r="C14" s="8">
        <f>'production loss &amp; total costs'!K15</f>
        <v>59.52503295054095</v>
      </c>
      <c r="D14" s="8">
        <f>$C$14*D8</f>
        <v>57.23560860628937</v>
      </c>
      <c r="E14" s="8">
        <f aca="true" t="shared" si="5" ref="E14:Q14">$C$14*E8</f>
        <v>55.03423904450901</v>
      </c>
      <c r="F14" s="8">
        <f t="shared" si="5"/>
        <v>52.91753754279713</v>
      </c>
      <c r="G14" s="8">
        <f t="shared" si="5"/>
        <v>50.88224763730492</v>
      </c>
      <c r="H14" s="8">
        <f t="shared" si="5"/>
        <v>48.92523811279319</v>
      </c>
      <c r="I14" s="8">
        <f t="shared" si="5"/>
        <v>47.04349818537806</v>
      </c>
      <c r="J14" s="8">
        <f t="shared" si="5"/>
        <v>45.23413287055584</v>
      </c>
      <c r="K14" s="8">
        <f t="shared" si="5"/>
        <v>43.494358529380605</v>
      </c>
      <c r="L14" s="8">
        <f t="shared" si="5"/>
        <v>41.821498585942884</v>
      </c>
      <c r="M14" s="8">
        <f t="shared" si="5"/>
        <v>40.21297940956046</v>
      </c>
      <c r="N14" s="8">
        <f t="shared" si="5"/>
        <v>38.666326355346605</v>
      </c>
      <c r="O14" s="8">
        <f t="shared" si="5"/>
        <v>37.17915995706404</v>
      </c>
      <c r="P14" s="8">
        <f t="shared" si="5"/>
        <v>35.749192266407725</v>
      </c>
      <c r="Q14" s="8">
        <f t="shared" si="5"/>
        <v>34.37422333308435</v>
      </c>
    </row>
    <row r="15" spans="1:17" s="8" customFormat="1" ht="27">
      <c r="A15" s="24" t="s">
        <v>38</v>
      </c>
      <c r="C15" s="8">
        <f>'production loss &amp; total costs'!K17</f>
        <v>62.854639044823756</v>
      </c>
      <c r="D15" s="8">
        <f>$C$15*D8</f>
        <v>60.43715292771515</v>
      </c>
      <c r="E15" s="8">
        <f aca="true" t="shared" si="6" ref="E15:Q15">$C$15*E8</f>
        <v>58.112647045879946</v>
      </c>
      <c r="F15" s="8">
        <f t="shared" si="6"/>
        <v>55.87754523642303</v>
      </c>
      <c r="G15" s="8">
        <f t="shared" si="6"/>
        <v>53.72840888117598</v>
      </c>
      <c r="H15" s="8">
        <f t="shared" si="6"/>
        <v>51.66193161651536</v>
      </c>
      <c r="I15" s="8">
        <f t="shared" si="6"/>
        <v>49.674934246649386</v>
      </c>
      <c r="J15" s="8">
        <f t="shared" si="6"/>
        <v>47.76435985254749</v>
      </c>
      <c r="K15" s="8">
        <f t="shared" si="6"/>
        <v>45.92726908898796</v>
      </c>
      <c r="L15" s="8">
        <f t="shared" si="6"/>
        <v>44.16083566248842</v>
      </c>
      <c r="M15" s="8">
        <f t="shared" si="6"/>
        <v>42.46234198316194</v>
      </c>
      <c r="N15" s="8">
        <f t="shared" si="6"/>
        <v>40.829174983809565</v>
      </c>
      <c r="O15" s="8">
        <f t="shared" si="6"/>
        <v>39.25882209981688</v>
      </c>
      <c r="P15" s="8">
        <f t="shared" si="6"/>
        <v>37.748867403670076</v>
      </c>
      <c r="Q15" s="8">
        <f t="shared" si="6"/>
        <v>36.29698788814431</v>
      </c>
    </row>
    <row r="16" spans="1:17" s="8" customFormat="1" ht="13.5">
      <c r="A16" s="24" t="s">
        <v>39</v>
      </c>
      <c r="C16" s="8">
        <f>'production loss &amp; total costs'!K19</f>
        <v>62.854639044823756</v>
      </c>
      <c r="D16" s="8">
        <f>$C$16*D8</f>
        <v>60.43715292771515</v>
      </c>
      <c r="E16" s="8">
        <f aca="true" t="shared" si="7" ref="E16:Q16">$C$16*E8</f>
        <v>58.112647045879946</v>
      </c>
      <c r="F16" s="8">
        <f t="shared" si="7"/>
        <v>55.87754523642303</v>
      </c>
      <c r="G16" s="8">
        <f t="shared" si="7"/>
        <v>53.72840888117598</v>
      </c>
      <c r="H16" s="8">
        <f t="shared" si="7"/>
        <v>51.66193161651536</v>
      </c>
      <c r="I16" s="8">
        <f t="shared" si="7"/>
        <v>49.674934246649386</v>
      </c>
      <c r="J16" s="8">
        <f t="shared" si="7"/>
        <v>47.76435985254749</v>
      </c>
      <c r="K16" s="8">
        <f t="shared" si="7"/>
        <v>45.92726908898796</v>
      </c>
      <c r="L16" s="8">
        <f t="shared" si="7"/>
        <v>44.16083566248842</v>
      </c>
      <c r="M16" s="8">
        <f t="shared" si="7"/>
        <v>42.46234198316194</v>
      </c>
      <c r="N16" s="8">
        <f t="shared" si="7"/>
        <v>40.829174983809565</v>
      </c>
      <c r="O16" s="8">
        <f t="shared" si="7"/>
        <v>39.25882209981688</v>
      </c>
      <c r="P16" s="8">
        <f t="shared" si="7"/>
        <v>37.748867403670076</v>
      </c>
      <c r="Q16" s="8">
        <f t="shared" si="7"/>
        <v>36.29698788814431</v>
      </c>
    </row>
    <row r="17" spans="1:17" s="8" customFormat="1" ht="13.5">
      <c r="A17" s="24" t="s">
        <v>40</v>
      </c>
      <c r="C17" s="8">
        <f>'production loss &amp; total costs'!K21</f>
        <v>65.87209456776755</v>
      </c>
      <c r="D17" s="8">
        <f>$C$17*D8</f>
        <v>63.338552469007254</v>
      </c>
      <c r="E17" s="8">
        <f aca="true" t="shared" si="8" ref="E17:Q17">$C$17*E8</f>
        <v>60.902454297122354</v>
      </c>
      <c r="F17" s="8">
        <f t="shared" si="8"/>
        <v>58.5600522087715</v>
      </c>
      <c r="G17" s="8">
        <f t="shared" si="8"/>
        <v>56.30774250843413</v>
      </c>
      <c r="H17" s="8">
        <f t="shared" si="8"/>
        <v>54.14206010426358</v>
      </c>
      <c r="I17" s="8">
        <f t="shared" si="8"/>
        <v>52.05967317717651</v>
      </c>
      <c r="J17" s="8">
        <f t="shared" si="8"/>
        <v>50.05737805497743</v>
      </c>
      <c r="K17" s="8">
        <f t="shared" si="8"/>
        <v>48.132094283632135</v>
      </c>
      <c r="L17" s="8">
        <f t="shared" si="8"/>
        <v>46.28085988810781</v>
      </c>
      <c r="M17" s="8">
        <f t="shared" si="8"/>
        <v>44.50082681548828</v>
      </c>
      <c r="N17" s="8">
        <f t="shared" si="8"/>
        <v>42.78925655335412</v>
      </c>
      <c r="O17" s="8">
        <f t="shared" si="8"/>
        <v>41.143515916686646</v>
      </c>
      <c r="P17" s="8">
        <f t="shared" si="8"/>
        <v>39.56107299681408</v>
      </c>
      <c r="Q17" s="8">
        <f t="shared" si="8"/>
        <v>38.03949326616739</v>
      </c>
    </row>
    <row r="18" ht="13.5">
      <c r="B18" s="8"/>
    </row>
    <row r="20" spans="1:2" ht="13.5">
      <c r="A20" s="17" t="s">
        <v>91</v>
      </c>
      <c r="B20" s="7" t="s">
        <v>96</v>
      </c>
    </row>
    <row r="22" spans="1:17" ht="13.5">
      <c r="A22" s="7" t="s">
        <v>92</v>
      </c>
      <c r="B22" s="7"/>
      <c r="C22">
        <v>0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  <c r="M22">
        <v>10</v>
      </c>
      <c r="N22">
        <v>11</v>
      </c>
      <c r="O22">
        <v>12</v>
      </c>
      <c r="P22">
        <v>13</v>
      </c>
      <c r="Q22">
        <v>14</v>
      </c>
    </row>
    <row r="23" spans="1:2" ht="13.5">
      <c r="A23" s="7" t="s">
        <v>93</v>
      </c>
      <c r="B23" s="23">
        <f>Proportionality!J3</f>
        <v>0.04</v>
      </c>
    </row>
    <row r="24" spans="1:17" ht="13.5">
      <c r="A24" s="7" t="s">
        <v>95</v>
      </c>
      <c r="C24">
        <f>+(1+$B$7)^-C22</f>
        <v>1</v>
      </c>
      <c r="D24">
        <f>+(1+$B$7)^-D22</f>
        <v>0.9615384615384615</v>
      </c>
      <c r="E24">
        <f>+(1+$B$7)^-E22</f>
        <v>0.9245562130177514</v>
      </c>
      <c r="F24">
        <f aca="true" t="shared" si="9" ref="F24:Q24">+(1+$B$7)^-F22</f>
        <v>0.8889963586709149</v>
      </c>
      <c r="G24">
        <f t="shared" si="9"/>
        <v>0.8548041910297257</v>
      </c>
      <c r="H24">
        <f t="shared" si="9"/>
        <v>0.8219271067593515</v>
      </c>
      <c r="I24">
        <f t="shared" si="9"/>
        <v>0.7903145257301457</v>
      </c>
      <c r="J24">
        <f t="shared" si="9"/>
        <v>0.7599178132020633</v>
      </c>
      <c r="K24">
        <f t="shared" si="9"/>
        <v>0.7306902050019838</v>
      </c>
      <c r="L24">
        <f t="shared" si="9"/>
        <v>0.7025867355788304</v>
      </c>
      <c r="M24">
        <f t="shared" si="9"/>
        <v>0.6755641688257985</v>
      </c>
      <c r="N24">
        <f t="shared" si="9"/>
        <v>0.6495809315632679</v>
      </c>
      <c r="O24">
        <f t="shared" si="9"/>
        <v>0.6245970495800651</v>
      </c>
      <c r="P24">
        <f t="shared" si="9"/>
        <v>0.600574086134678</v>
      </c>
      <c r="Q24">
        <f t="shared" si="9"/>
        <v>0.5774750828218058</v>
      </c>
    </row>
    <row r="25" ht="13.5">
      <c r="A25" s="7"/>
    </row>
    <row r="26" spans="1:17" ht="13.5">
      <c r="A26" s="24" t="s">
        <v>87</v>
      </c>
      <c r="B26" s="8"/>
      <c r="C26" s="8">
        <f>'production loss &amp; total costs'!L7</f>
        <v>383.1176644204011</v>
      </c>
      <c r="D26" s="8">
        <f>$C$26*D24</f>
        <v>368.38236963500106</v>
      </c>
      <c r="E26" s="8">
        <f aca="true" t="shared" si="10" ref="E26:Q26">$C$26*E24</f>
        <v>354.21381695673176</v>
      </c>
      <c r="F26" s="8">
        <f t="shared" si="10"/>
        <v>340.5902086122421</v>
      </c>
      <c r="G26" s="8">
        <f t="shared" si="10"/>
        <v>327.4905852040789</v>
      </c>
      <c r="H26" s="8">
        <f t="shared" si="10"/>
        <v>314.89479346546045</v>
      </c>
      <c r="I26" s="8">
        <f t="shared" si="10"/>
        <v>302.78345525525043</v>
      </c>
      <c r="J26" s="8">
        <f t="shared" si="10"/>
        <v>291.13793774543313</v>
      </c>
      <c r="K26" s="8">
        <f t="shared" si="10"/>
        <v>279.94032475522414</v>
      </c>
      <c r="L26" s="8">
        <f t="shared" si="10"/>
        <v>269.1733891877155</v>
      </c>
      <c r="M26" s="8">
        <f t="shared" si="10"/>
        <v>258.8205665266495</v>
      </c>
      <c r="N26" s="8">
        <f t="shared" si="10"/>
        <v>248.86592935254762</v>
      </c>
      <c r="O26" s="8">
        <f t="shared" si="10"/>
        <v>239.29416283898803</v>
      </c>
      <c r="P26" s="8">
        <f t="shared" si="10"/>
        <v>230.09054119133464</v>
      </c>
      <c r="Q26" s="8">
        <f t="shared" si="10"/>
        <v>221.24090499166795</v>
      </c>
    </row>
    <row r="27" spans="1:17" ht="54">
      <c r="A27" s="25" t="s">
        <v>35</v>
      </c>
      <c r="B27" s="8"/>
      <c r="C27" s="8">
        <f>'production loss &amp; total costs'!L9</f>
        <v>344.2840448205879</v>
      </c>
      <c r="D27" s="8">
        <f>$C$27*D24</f>
        <v>331.0423507890268</v>
      </c>
      <c r="E27" s="8">
        <f aca="true" t="shared" si="11" ref="E27:Q27">$C$27*E24</f>
        <v>318.3099526817565</v>
      </c>
      <c r="F27" s="8">
        <f t="shared" si="11"/>
        <v>306.06726219399667</v>
      </c>
      <c r="G27" s="8">
        <f t="shared" si="11"/>
        <v>294.29544441730445</v>
      </c>
      <c r="H27" s="8">
        <f t="shared" si="11"/>
        <v>282.9763888627927</v>
      </c>
      <c r="I27" s="8">
        <f t="shared" si="11"/>
        <v>272.09268159883914</v>
      </c>
      <c r="J27" s="8">
        <f t="shared" si="11"/>
        <v>261.6275784604223</v>
      </c>
      <c r="K27" s="8">
        <f t="shared" si="11"/>
        <v>251.56497928886753</v>
      </c>
      <c r="L27" s="8">
        <f t="shared" si="11"/>
        <v>241.8894031623726</v>
      </c>
      <c r="M27" s="8">
        <f t="shared" si="11"/>
        <v>232.58596457920441</v>
      </c>
      <c r="N27" s="8">
        <f t="shared" si="11"/>
        <v>223.64035055692736</v>
      </c>
      <c r="O27" s="8">
        <f t="shared" si="11"/>
        <v>215.0387986124301</v>
      </c>
      <c r="P27" s="8">
        <f t="shared" si="11"/>
        <v>206.7680755888751</v>
      </c>
      <c r="Q27" s="8">
        <f t="shared" si="11"/>
        <v>198.8154572969953</v>
      </c>
    </row>
    <row r="28" spans="1:17" ht="40.5">
      <c r="A28" s="24" t="s">
        <v>88</v>
      </c>
      <c r="B28" s="8"/>
      <c r="C28" s="8">
        <f>'production loss &amp; total costs'!L11</f>
        <v>214.7762411117127</v>
      </c>
      <c r="D28" s="8">
        <f>$C$28*D24</f>
        <v>206.5156164535699</v>
      </c>
      <c r="E28" s="8">
        <f aca="true" t="shared" si="12" ref="E28:Q28">$C$28*E24</f>
        <v>198.57270812843257</v>
      </c>
      <c r="F28" s="8">
        <f t="shared" si="12"/>
        <v>190.93529627733903</v>
      </c>
      <c r="G28" s="8">
        <f t="shared" si="12"/>
        <v>183.59163103590288</v>
      </c>
      <c r="H28" s="8">
        <f t="shared" si="12"/>
        <v>176.5304144575989</v>
      </c>
      <c r="I28" s="8">
        <f t="shared" si="12"/>
        <v>169.74078313230663</v>
      </c>
      <c r="J28" s="8">
        <f t="shared" si="12"/>
        <v>163.2122914733718</v>
      </c>
      <c r="K28" s="8">
        <f t="shared" si="12"/>
        <v>156.93489564747284</v>
      </c>
      <c r="L28" s="8">
        <f t="shared" si="12"/>
        <v>150.89893812257003</v>
      </c>
      <c r="M28" s="8">
        <f t="shared" si="12"/>
        <v>145.09513281016348</v>
      </c>
      <c r="N28" s="8">
        <f t="shared" si="12"/>
        <v>139.51455077900337</v>
      </c>
      <c r="O28" s="8">
        <f t="shared" si="12"/>
        <v>134.14860651827243</v>
      </c>
      <c r="P28" s="8">
        <f t="shared" si="12"/>
        <v>128.98904472910812</v>
      </c>
      <c r="Q28" s="8">
        <f t="shared" si="12"/>
        <v>124.02792762414242</v>
      </c>
    </row>
    <row r="29" spans="1:17" ht="27">
      <c r="A29" s="24" t="s">
        <v>37</v>
      </c>
      <c r="B29" s="8"/>
      <c r="C29" s="8">
        <f>'production loss &amp; total costs'!L13</f>
        <v>162.82051268217467</v>
      </c>
      <c r="D29" s="8">
        <f>$C$29*D24</f>
        <v>156.55818527132178</v>
      </c>
      <c r="E29" s="8">
        <f aca="true" t="shared" si="13" ref="E29:Q29">$C$29*E24</f>
        <v>150.53671660704018</v>
      </c>
      <c r="F29" s="8">
        <f t="shared" si="13"/>
        <v>144.7468428913848</v>
      </c>
      <c r="G29" s="8">
        <f t="shared" si="13"/>
        <v>139.1796566263315</v>
      </c>
      <c r="H29" s="8">
        <f t="shared" si="13"/>
        <v>133.82659290993413</v>
      </c>
      <c r="I29" s="8">
        <f t="shared" si="13"/>
        <v>128.67941625955206</v>
      </c>
      <c r="J29" s="8">
        <f t="shared" si="13"/>
        <v>123.73020794187698</v>
      </c>
      <c r="K29" s="8">
        <f t="shared" si="13"/>
        <v>118.9713537902663</v>
      </c>
      <c r="L29" s="8">
        <f t="shared" si="13"/>
        <v>114.39553249064066</v>
      </c>
      <c r="M29" s="8">
        <f t="shared" si="13"/>
        <v>109.99570431792371</v>
      </c>
      <c r="N29" s="8">
        <f t="shared" si="13"/>
        <v>105.7651003056959</v>
      </c>
      <c r="O29" s="8">
        <f t="shared" si="13"/>
        <v>101.69721183239987</v>
      </c>
      <c r="P29" s="8">
        <f t="shared" si="13"/>
        <v>97.7857806080768</v>
      </c>
      <c r="Q29" s="8">
        <f t="shared" si="13"/>
        <v>94.0247890462277</v>
      </c>
    </row>
    <row r="30" spans="1:17" ht="40.5">
      <c r="A30" s="24" t="s">
        <v>43</v>
      </c>
      <c r="B30" s="8"/>
      <c r="C30" s="8">
        <f>'production loss &amp; total costs'!L15</f>
        <v>193.3419018797671</v>
      </c>
      <c r="D30" s="8">
        <f>$C$30*D24</f>
        <v>185.90567488439143</v>
      </c>
      <c r="E30" s="8">
        <f aca="true" t="shared" si="14" ref="E30:Q30">$C$30*E24</f>
        <v>178.75545661960714</v>
      </c>
      <c r="F30" s="8">
        <f t="shared" si="14"/>
        <v>171.88024674962227</v>
      </c>
      <c r="G30" s="8">
        <f t="shared" si="14"/>
        <v>165.26946802848292</v>
      </c>
      <c r="H30" s="8">
        <f t="shared" si="14"/>
        <v>158.9129500273874</v>
      </c>
      <c r="I30" s="8">
        <f t="shared" si="14"/>
        <v>152.80091348787252</v>
      </c>
      <c r="J30" s="8">
        <f t="shared" si="14"/>
        <v>146.9239552768005</v>
      </c>
      <c r="K30" s="8">
        <f t="shared" si="14"/>
        <v>141.27303392000047</v>
      </c>
      <c r="L30" s="8">
        <f t="shared" si="14"/>
        <v>135.83945569230812</v>
      </c>
      <c r="M30" s="8">
        <f t="shared" si="14"/>
        <v>130.61486124260395</v>
      </c>
      <c r="N30" s="8">
        <f t="shared" si="14"/>
        <v>125.59121273327305</v>
      </c>
      <c r="O30" s="8">
        <f t="shared" si="14"/>
        <v>120.76078147430098</v>
      </c>
      <c r="P30" s="8">
        <f t="shared" si="14"/>
        <v>116.11613603298171</v>
      </c>
      <c r="Q30" s="8">
        <f t="shared" si="14"/>
        <v>111.65013080094397</v>
      </c>
    </row>
    <row r="31" spans="1:17" ht="27">
      <c r="A31" s="24" t="s">
        <v>38</v>
      </c>
      <c r="B31" s="8"/>
      <c r="C31" s="8">
        <f>'production loss &amp; total costs'!L17</f>
        <v>206.66032625689834</v>
      </c>
      <c r="D31" s="8">
        <f>$C$31*D24</f>
        <v>198.71185217009455</v>
      </c>
      <c r="E31" s="8">
        <f aca="true" t="shared" si="15" ref="E31:Q31">$C$31*E24</f>
        <v>191.0690886250909</v>
      </c>
      <c r="F31" s="8">
        <f t="shared" si="15"/>
        <v>183.7202775241259</v>
      </c>
      <c r="G31" s="8">
        <f t="shared" si="15"/>
        <v>176.65411300396718</v>
      </c>
      <c r="H31" s="8">
        <f t="shared" si="15"/>
        <v>169.8597240422761</v>
      </c>
      <c r="I31" s="8">
        <f t="shared" si="15"/>
        <v>163.32665773295778</v>
      </c>
      <c r="J31" s="8">
        <f t="shared" si="15"/>
        <v>157.04486320476713</v>
      </c>
      <c r="K31" s="8">
        <f t="shared" si="15"/>
        <v>151.0046761584299</v>
      </c>
      <c r="L31" s="8">
        <f t="shared" si="15"/>
        <v>145.19680399849028</v>
      </c>
      <c r="M31" s="8">
        <f t="shared" si="15"/>
        <v>139.61231153700987</v>
      </c>
      <c r="N31" s="8">
        <f t="shared" si="15"/>
        <v>134.2426072471249</v>
      </c>
      <c r="O31" s="8">
        <f t="shared" si="15"/>
        <v>129.07943004531236</v>
      </c>
      <c r="P31" s="8">
        <f t="shared" si="15"/>
        <v>124.11483658203112</v>
      </c>
      <c r="Q31" s="8">
        <f t="shared" si="15"/>
        <v>119.34118902118378</v>
      </c>
    </row>
    <row r="32" spans="1:17" ht="13.5">
      <c r="A32" s="24" t="s">
        <v>39</v>
      </c>
      <c r="B32" s="8"/>
      <c r="C32" s="8">
        <f>'production loss &amp; total costs'!L19</f>
        <v>206.66032625689834</v>
      </c>
      <c r="D32" s="8">
        <f>$C$32*D24</f>
        <v>198.71185217009455</v>
      </c>
      <c r="E32" s="8">
        <f aca="true" t="shared" si="16" ref="E32:Q32">$C$32*E24</f>
        <v>191.0690886250909</v>
      </c>
      <c r="F32" s="8">
        <f t="shared" si="16"/>
        <v>183.7202775241259</v>
      </c>
      <c r="G32" s="8">
        <f t="shared" si="16"/>
        <v>176.65411300396718</v>
      </c>
      <c r="H32" s="8">
        <f t="shared" si="16"/>
        <v>169.8597240422761</v>
      </c>
      <c r="I32" s="8">
        <f t="shared" si="16"/>
        <v>163.32665773295778</v>
      </c>
      <c r="J32" s="8">
        <f t="shared" si="16"/>
        <v>157.04486320476713</v>
      </c>
      <c r="K32" s="8">
        <f t="shared" si="16"/>
        <v>151.0046761584299</v>
      </c>
      <c r="L32" s="8">
        <f t="shared" si="16"/>
        <v>145.19680399849028</v>
      </c>
      <c r="M32" s="8">
        <f t="shared" si="16"/>
        <v>139.61231153700987</v>
      </c>
      <c r="N32" s="8">
        <f t="shared" si="16"/>
        <v>134.2426072471249</v>
      </c>
      <c r="O32" s="8">
        <f t="shared" si="16"/>
        <v>129.07943004531236</v>
      </c>
      <c r="P32" s="8">
        <f t="shared" si="16"/>
        <v>124.11483658203112</v>
      </c>
      <c r="Q32" s="8">
        <f t="shared" si="16"/>
        <v>119.34118902118378</v>
      </c>
    </row>
    <row r="33" spans="1:17" ht="13.5">
      <c r="A33" s="24" t="s">
        <v>40</v>
      </c>
      <c r="B33" s="8"/>
      <c r="C33" s="8">
        <f>'production loss &amp; total costs'!L21</f>
        <v>218.7301483486735</v>
      </c>
      <c r="D33" s="8">
        <f>$C$33*D24</f>
        <v>210.31745033526298</v>
      </c>
      <c r="E33" s="8">
        <f aca="true" t="shared" si="17" ref="E33:Q33">$C$33*E24</f>
        <v>202.22831763006053</v>
      </c>
      <c r="F33" s="8">
        <f t="shared" si="17"/>
        <v>194.45030541351977</v>
      </c>
      <c r="G33" s="8">
        <f t="shared" si="17"/>
        <v>186.97144751299976</v>
      </c>
      <c r="H33" s="8">
        <f t="shared" si="17"/>
        <v>179.78023799326897</v>
      </c>
      <c r="I33" s="8">
        <f t="shared" si="17"/>
        <v>172.86561345506632</v>
      </c>
      <c r="J33" s="8">
        <f t="shared" si="17"/>
        <v>166.21693601448686</v>
      </c>
      <c r="K33" s="8">
        <f t="shared" si="17"/>
        <v>159.82397693700656</v>
      </c>
      <c r="L33" s="8">
        <f t="shared" si="17"/>
        <v>153.67690090096784</v>
      </c>
      <c r="M33" s="8">
        <f t="shared" si="17"/>
        <v>147.76625086631523</v>
      </c>
      <c r="N33" s="8">
        <f t="shared" si="17"/>
        <v>142.08293352530313</v>
      </c>
      <c r="O33" s="8">
        <f t="shared" si="17"/>
        <v>136.61820531279142</v>
      </c>
      <c r="P33" s="8">
        <f t="shared" si="17"/>
        <v>131.36365895460713</v>
      </c>
      <c r="Q33" s="8">
        <f t="shared" si="17"/>
        <v>126.31121053327611</v>
      </c>
    </row>
    <row r="36" spans="1:2" ht="13.5">
      <c r="A36" s="17" t="s">
        <v>98</v>
      </c>
      <c r="B36" s="7" t="s">
        <v>94</v>
      </c>
    </row>
    <row r="37" spans="1:17" ht="13.5">
      <c r="A37" s="24" t="s">
        <v>87</v>
      </c>
      <c r="C37" s="8">
        <f>'biomonitoring '!C14</f>
        <v>343.2958759498936</v>
      </c>
      <c r="D37" s="8">
        <f>$C$37*D24</f>
        <v>330.0921884133592</v>
      </c>
      <c r="E37" s="8">
        <f aca="true" t="shared" si="18" ref="E37:Q37">$C$37*E24</f>
        <v>317.3963350128454</v>
      </c>
      <c r="F37" s="8">
        <f t="shared" si="18"/>
        <v>305.18878366619754</v>
      </c>
      <c r="G37" s="8">
        <f t="shared" si="18"/>
        <v>293.4507535251899</v>
      </c>
      <c r="H37" s="8">
        <f t="shared" si="18"/>
        <v>282.16418608191333</v>
      </c>
      <c r="I37" s="8">
        <f t="shared" si="18"/>
        <v>271.31171738645514</v>
      </c>
      <c r="J37" s="8">
        <f t="shared" si="18"/>
        <v>260.87665133313</v>
      </c>
      <c r="K37" s="8">
        <f t="shared" si="18"/>
        <v>250.84293397416337</v>
      </c>
      <c r="L37" s="8">
        <f t="shared" si="18"/>
        <v>241.1951288213109</v>
      </c>
      <c r="M37" s="8">
        <f t="shared" si="18"/>
        <v>231.9183930974143</v>
      </c>
      <c r="N37" s="8">
        <f t="shared" si="18"/>
        <v>222.99845490135996</v>
      </c>
      <c r="O37" s="8">
        <f t="shared" si="18"/>
        <v>214.4215912513076</v>
      </c>
      <c r="P37" s="8">
        <f t="shared" si="18"/>
        <v>206.17460697241114</v>
      </c>
      <c r="Q37" s="8">
        <f t="shared" si="18"/>
        <v>198.2448143965492</v>
      </c>
    </row>
    <row r="38" spans="1:17" ht="54">
      <c r="A38" s="25" t="s">
        <v>35</v>
      </c>
      <c r="C38" s="8">
        <f>'biomonitoring '!$C$16*C24</f>
        <v>333.5874710499403</v>
      </c>
      <c r="D38" s="8">
        <f>'biomonitoring '!$C$16*D24</f>
        <v>320.75718370186564</v>
      </c>
      <c r="E38" s="8">
        <f>'biomonitoring '!$C$16*E24</f>
        <v>308.42036894410154</v>
      </c>
      <c r="F38" s="8">
        <f>'biomonitoring '!$C$16*F24</f>
        <v>296.55804706163616</v>
      </c>
      <c r="G38" s="8">
        <f>'biomonitoring '!$C$16*G24</f>
        <v>285.15196832849625</v>
      </c>
      <c r="H38" s="8">
        <f>'biomonitoring '!$C$16*H24</f>
        <v>274.1845849312464</v>
      </c>
      <c r="I38" s="8">
        <f>'biomonitoring '!$C$16*I24</f>
        <v>263.6390239723523</v>
      </c>
      <c r="J38" s="8">
        <f>'biomonitoring '!$C$16*J24</f>
        <v>253.49906151187722</v>
      </c>
      <c r="K38" s="8">
        <f>'biomonitoring '!$C$16*K24</f>
        <v>243.7490976075742</v>
      </c>
      <c r="L38" s="8">
        <f>'biomonitoring '!$C$16*L24</f>
        <v>234.37413231497516</v>
      </c>
      <c r="M38" s="8">
        <f>'biomonitoring '!$C$16*M24</f>
        <v>225.35974261055304</v>
      </c>
      <c r="N38" s="8">
        <f>'biomonitoring '!$C$16*N24</f>
        <v>216.69206020245488</v>
      </c>
      <c r="O38" s="8">
        <f>'biomonitoring '!$C$16*O24</f>
        <v>208.35775019466809</v>
      </c>
      <c r="P38" s="8">
        <f>'biomonitoring '!$C$16*P24</f>
        <v>200.34399057179624</v>
      </c>
      <c r="Q38" s="8">
        <f>'biomonitoring '!$C$16*Q24</f>
        <v>192.63845247288103</v>
      </c>
    </row>
    <row r="39" spans="1:17" ht="40.5">
      <c r="A39" s="24" t="s">
        <v>88</v>
      </c>
      <c r="C39" s="8">
        <f>'biomonitoring '!$C$18*C24</f>
        <v>301.2105201227215</v>
      </c>
      <c r="D39" s="8">
        <f>'biomonitoring '!$C$18*D24</f>
        <v>289.6255001180014</v>
      </c>
      <c r="E39" s="8">
        <f>'biomonitoring '!$C$18*E24</f>
        <v>278.4860578057706</v>
      </c>
      <c r="F39" s="8">
        <f>'biomonitoring '!$C$18*F24</f>
        <v>267.77505558247174</v>
      </c>
      <c r="G39" s="8">
        <f>'biomonitoring '!$C$18*G24</f>
        <v>257.4760149831459</v>
      </c>
      <c r="H39" s="8">
        <f>'biomonitoring '!$C$18*H24</f>
        <v>247.5730913299479</v>
      </c>
      <c r="I39" s="8">
        <f>'biomonitoring '!$C$18*I24</f>
        <v>238.05104935571916</v>
      </c>
      <c r="J39" s="8">
        <f>'biomonitoring '!$C$18*J24</f>
        <v>228.8952397651146</v>
      </c>
      <c r="K39" s="8">
        <f>'biomonitoring '!$C$18*K24</f>
        <v>220.09157669722555</v>
      </c>
      <c r="L39" s="8">
        <f>'biomonitoring '!$C$18*L24</f>
        <v>211.62651605502452</v>
      </c>
      <c r="M39" s="8">
        <f>'biomonitoring '!$C$18*M24</f>
        <v>203.4870346682928</v>
      </c>
      <c r="N39" s="8">
        <f>'biomonitoring '!$C$18*N24</f>
        <v>195.6606102579739</v>
      </c>
      <c r="O39" s="8">
        <f>'biomonitoring '!$C$18*O24</f>
        <v>188.1352021711287</v>
      </c>
      <c r="P39" s="8">
        <f>'biomonitoring '!$C$18*P24</f>
        <v>180.8992328568545</v>
      </c>
      <c r="Q39" s="8">
        <f>'biomonitoring '!$C$18*Q24</f>
        <v>173.9415700546678</v>
      </c>
    </row>
    <row r="40" spans="1:17" ht="27">
      <c r="A40" s="24" t="s">
        <v>37</v>
      </c>
      <c r="C40" s="8">
        <f>'biomonitoring '!$C$20*C24</f>
        <v>288.22158801533703</v>
      </c>
      <c r="D40" s="8">
        <f>'biomonitoring '!$C$20*D24</f>
        <v>277.1361423224394</v>
      </c>
      <c r="E40" s="8">
        <f>'biomonitoring '!$C$20*E24</f>
        <v>266.4770599254225</v>
      </c>
      <c r="F40" s="8">
        <f>'biomonitoring '!$C$20*F24</f>
        <v>256.2279422359832</v>
      </c>
      <c r="G40" s="8">
        <f>'biomonitoring '!$C$20*G24</f>
        <v>246.37302138075307</v>
      </c>
      <c r="H40" s="8">
        <f>'biomonitoring '!$C$20*H24</f>
        <v>236.89713594303177</v>
      </c>
      <c r="I40" s="8">
        <f>'biomonitoring '!$C$20*I24</f>
        <v>227.78570763753055</v>
      </c>
      <c r="J40" s="8">
        <f>'biomonitoring '!$C$20*J24</f>
        <v>219.02471888224093</v>
      </c>
      <c r="K40" s="8">
        <f>'biomonitoring '!$C$20*K24</f>
        <v>210.60069123292394</v>
      </c>
      <c r="L40" s="8">
        <f>'biomonitoring '!$C$20*L24</f>
        <v>202.5006646470422</v>
      </c>
      <c r="M40" s="8">
        <f>'biomonitoring '!$C$20*M24</f>
        <v>194.7121775452329</v>
      </c>
      <c r="N40" s="8">
        <f>'biomonitoring '!$C$20*N24</f>
        <v>187.22324763964704</v>
      </c>
      <c r="O40" s="8">
        <f>'biomonitoring '!$C$20*O24</f>
        <v>180.02235349966057</v>
      </c>
      <c r="P40" s="8">
        <f>'biomonitoring '!$C$20*P24</f>
        <v>173.0984168265967</v>
      </c>
      <c r="Q40" s="8">
        <f>'biomonitoring '!$C$20*Q24</f>
        <v>166.44078541018914</v>
      </c>
    </row>
    <row r="41" spans="1:17" ht="40.5">
      <c r="A41" s="24" t="s">
        <v>43</v>
      </c>
      <c r="C41" s="8">
        <f>'biomonitoring '!$C$22*C24</f>
        <v>295.8519353147351</v>
      </c>
      <c r="D41" s="8">
        <f>'biomonitoring '!$C$22*D24</f>
        <v>284.4730147257068</v>
      </c>
      <c r="E41" s="8">
        <f>'biomonitoring '!$C$22*E24</f>
        <v>273.53174492856425</v>
      </c>
      <c r="F41" s="8">
        <f>'biomonitoring '!$C$22*F24</f>
        <v>263.0112932005425</v>
      </c>
      <c r="G41" s="8">
        <f>'biomonitoring '!$C$22*G24</f>
        <v>252.89547423129088</v>
      </c>
      <c r="H41" s="8">
        <f>'biomonitoring '!$C$22*H24</f>
        <v>243.16872522239504</v>
      </c>
      <c r="I41" s="8">
        <f>'biomonitoring '!$C$22*I24</f>
        <v>233.81608194461063</v>
      </c>
      <c r="J41" s="8">
        <f>'biomonitoring '!$C$22*J24</f>
        <v>224.82315571597178</v>
      </c>
      <c r="K41" s="8">
        <f>'biomonitoring '!$C$22*K24</f>
        <v>216.17611126535743</v>
      </c>
      <c r="L41" s="8">
        <f>'biomonitoring '!$C$22*L24</f>
        <v>207.86164544745904</v>
      </c>
      <c r="M41" s="8">
        <f>'biomonitoring '!$C$22*M24</f>
        <v>199.86696677640293</v>
      </c>
      <c r="N41" s="8">
        <f>'biomonitoring '!$C$22*N24</f>
        <v>192.1797757465413</v>
      </c>
      <c r="O41" s="8">
        <f>'biomonitoring '!$C$22*O24</f>
        <v>184.78824591013583</v>
      </c>
      <c r="P41" s="8">
        <f>'biomonitoring '!$C$22*P24</f>
        <v>177.6810056828229</v>
      </c>
      <c r="Q41" s="8">
        <f>'biomonitoring '!$C$22*Q24</f>
        <v>170.8471208488682</v>
      </c>
    </row>
    <row r="42" spans="1:17" ht="27">
      <c r="A42" s="24" t="s">
        <v>38</v>
      </c>
      <c r="C42" s="8">
        <f>'biomonitoring '!$C$24*C24</f>
        <v>299.18154140901794</v>
      </c>
      <c r="D42" s="8">
        <f>'biomonitoring '!$C$24*D24</f>
        <v>287.6745590471326</v>
      </c>
      <c r="E42" s="8">
        <f>'biomonitoring '!$C$24*E24</f>
        <v>276.61015292993517</v>
      </c>
      <c r="F42" s="8">
        <f>'biomonitoring '!$C$24*F24</f>
        <v>265.9713008941685</v>
      </c>
      <c r="G42" s="8">
        <f>'biomonitoring '!$C$24*G24</f>
        <v>255.74163547516196</v>
      </c>
      <c r="H42" s="8">
        <f>'biomonitoring '!$C$24*H24</f>
        <v>245.90541872611723</v>
      </c>
      <c r="I42" s="8">
        <f>'biomonitoring '!$C$24*I24</f>
        <v>236.44751800588196</v>
      </c>
      <c r="J42" s="8">
        <f>'biomonitoring '!$C$24*J24</f>
        <v>227.35338269796347</v>
      </c>
      <c r="K42" s="8">
        <f>'biomonitoring '!$C$24*K24</f>
        <v>218.60902182496483</v>
      </c>
      <c r="L42" s="8">
        <f>'biomonitoring '!$C$24*L24</f>
        <v>210.2009825240046</v>
      </c>
      <c r="M42" s="8">
        <f>'biomonitoring '!$C$24*M24</f>
        <v>202.11632935000443</v>
      </c>
      <c r="N42" s="8">
        <f>'biomonitoring '!$C$24*N24</f>
        <v>194.34262437500428</v>
      </c>
      <c r="O42" s="8">
        <f>'biomonitoring '!$C$24*O24</f>
        <v>186.86790805288868</v>
      </c>
      <c r="P42" s="8">
        <f>'biomonitoring '!$C$24*P24</f>
        <v>179.68068082008529</v>
      </c>
      <c r="Q42" s="8">
        <f>'biomonitoring '!$C$24*Q24</f>
        <v>172.76988540392816</v>
      </c>
    </row>
    <row r="44" spans="1:2" ht="13.5">
      <c r="A44" s="17" t="s">
        <v>98</v>
      </c>
      <c r="B44" s="7" t="s">
        <v>96</v>
      </c>
    </row>
    <row r="45" spans="1:17" ht="13.5">
      <c r="A45" s="24" t="s">
        <v>87</v>
      </c>
      <c r="C45" s="8">
        <f>'biomonitoring '!$D$14*C8</f>
        <v>645.4139279260712</v>
      </c>
      <c r="D45" s="8">
        <f>'biomonitoring '!$D$14*D8</f>
        <v>620.5903153135299</v>
      </c>
      <c r="E45" s="8">
        <f>'biomonitoring '!$D$14*E8</f>
        <v>596.7214570322403</v>
      </c>
      <c r="F45" s="8">
        <f>'biomonitoring '!$D$14*F8</f>
        <v>573.7706317617696</v>
      </c>
      <c r="G45" s="8">
        <f>'biomonitoring '!$D$14*G8</f>
        <v>551.702530540163</v>
      </c>
      <c r="H45" s="8">
        <f>'biomonitoring '!$D$14*H8</f>
        <v>530.4832024424644</v>
      </c>
      <c r="I45" s="8">
        <f>'biomonitoring '!$D$14*I8</f>
        <v>510.0800023485234</v>
      </c>
      <c r="J45" s="8">
        <f>'biomonitoring '!$D$14*J8</f>
        <v>490.46154071973416</v>
      </c>
      <c r="K45" s="8">
        <f>'biomonitoring '!$D$14*K8</f>
        <v>471.5976353074366</v>
      </c>
      <c r="L45" s="8">
        <f>'biomonitoring '!$D$14*L8</f>
        <v>453.4592647186889</v>
      </c>
      <c r="M45" s="8">
        <f>'biomonitoring '!$D$14*M8</f>
        <v>436.0185237679701</v>
      </c>
      <c r="N45" s="8">
        <f>'biomonitoring '!$D$14*N8</f>
        <v>419.2485805461252</v>
      </c>
      <c r="O45" s="8">
        <f>'biomonitoring '!$D$14*O8</f>
        <v>403.12363514050486</v>
      </c>
      <c r="P45" s="8">
        <f>'biomonitoring '!$D$14*P8</f>
        <v>387.61887994279317</v>
      </c>
      <c r="Q45" s="8">
        <f>'biomonitoring '!$D$14*Q8</f>
        <v>372.710461483455</v>
      </c>
    </row>
    <row r="46" spans="1:17" ht="54">
      <c r="A46" s="25" t="s">
        <v>35</v>
      </c>
      <c r="C46" s="8">
        <f>'biomonitoring '!$D$16*C8</f>
        <v>635.7055230261179</v>
      </c>
      <c r="D46" s="8">
        <f>'biomonitoring '!$D$16*D8</f>
        <v>611.2553106020364</v>
      </c>
      <c r="E46" s="8">
        <f>'biomonitoring '!$D$16*E8</f>
        <v>587.7454909634965</v>
      </c>
      <c r="F46" s="8">
        <f>'biomonitoring '!$D$16*F8</f>
        <v>565.1398951572082</v>
      </c>
      <c r="G46" s="8">
        <f>'biomonitoring '!$D$16*G8</f>
        <v>543.4037453434694</v>
      </c>
      <c r="H46" s="8">
        <f>'biomonitoring '!$D$16*H8</f>
        <v>522.5036012917974</v>
      </c>
      <c r="I46" s="8">
        <f>'biomonitoring '!$D$16*I8</f>
        <v>502.4073089344206</v>
      </c>
      <c r="J46" s="8">
        <f>'biomonitoring '!$D$16*J8</f>
        <v>483.0839508984814</v>
      </c>
      <c r="K46" s="8">
        <f>'biomonitoring '!$D$16*K8</f>
        <v>464.50379894084745</v>
      </c>
      <c r="L46" s="8">
        <f>'biomonitoring '!$D$16*L8</f>
        <v>446.63826821235324</v>
      </c>
      <c r="M46" s="8">
        <f>'biomonitoring '!$D$16*M8</f>
        <v>429.45987328110886</v>
      </c>
      <c r="N46" s="8">
        <f>'biomonitoring '!$D$16*N8</f>
        <v>412.9421858472201</v>
      </c>
      <c r="O46" s="8">
        <f>'biomonitoring '!$D$16*O8</f>
        <v>397.0597940838654</v>
      </c>
      <c r="P46" s="8">
        <f>'biomonitoring '!$D$16*P8</f>
        <v>381.7882635421783</v>
      </c>
      <c r="Q46" s="8">
        <f>'biomonitoring '!$D$16*Q8</f>
        <v>367.10409955978685</v>
      </c>
    </row>
    <row r="47" spans="1:17" ht="40.5">
      <c r="A47" s="24" t="s">
        <v>88</v>
      </c>
      <c r="C47" s="8">
        <f>'biomonitoring '!$D$18*C8</f>
        <v>603.3285720988991</v>
      </c>
      <c r="D47" s="8">
        <f>'biomonitoring '!$D$18*D8</f>
        <v>580.1236270181722</v>
      </c>
      <c r="E47" s="8">
        <f>'biomonitoring '!$D$18*E8</f>
        <v>557.8111798251656</v>
      </c>
      <c r="F47" s="8">
        <f>'biomonitoring '!$D$18*F8</f>
        <v>536.3569036780439</v>
      </c>
      <c r="G47" s="8">
        <f>'biomonitoring '!$D$18*G8</f>
        <v>515.7277919981191</v>
      </c>
      <c r="H47" s="8">
        <f>'biomonitoring '!$D$18*H8</f>
        <v>495.892107690499</v>
      </c>
      <c r="I47" s="8">
        <f>'biomonitoring '!$D$18*I8</f>
        <v>476.8193343177875</v>
      </c>
      <c r="J47" s="8">
        <f>'biomonitoring '!$D$18*J8</f>
        <v>458.4801291517188</v>
      </c>
      <c r="K47" s="8">
        <f>'biomonitoring '!$D$18*K8</f>
        <v>440.84627803049875</v>
      </c>
      <c r="L47" s="8">
        <f>'biomonitoring '!$D$18*L8</f>
        <v>423.8906519524026</v>
      </c>
      <c r="M47" s="8">
        <f>'biomonitoring '!$D$18*M8</f>
        <v>407.58716533884865</v>
      </c>
      <c r="N47" s="8">
        <f>'biomonitoring '!$D$18*N8</f>
        <v>391.91073590273913</v>
      </c>
      <c r="O47" s="8">
        <f>'biomonitoring '!$D$18*O8</f>
        <v>376.837246060326</v>
      </c>
      <c r="P47" s="8">
        <f>'biomonitoring '!$D$18*P8</f>
        <v>362.3435058272365</v>
      </c>
      <c r="Q47" s="8">
        <f>'biomonitoring '!$D$18*Q8</f>
        <v>348.40721714157365</v>
      </c>
    </row>
    <row r="48" spans="1:17" ht="27">
      <c r="A48" s="24" t="s">
        <v>37</v>
      </c>
      <c r="C48" s="8">
        <f>'biomonitoring '!$D$20*C8</f>
        <v>590.3396399915147</v>
      </c>
      <c r="D48" s="8">
        <f>'biomonitoring '!$D$20*D8</f>
        <v>567.6342692226102</v>
      </c>
      <c r="E48" s="8">
        <f>'biomonitoring '!$D$20*E8</f>
        <v>545.8021819448174</v>
      </c>
      <c r="F48" s="8">
        <f>'biomonitoring '!$D$20*F8</f>
        <v>524.8097903315553</v>
      </c>
      <c r="G48" s="8">
        <f>'biomonitoring '!$D$20*G8</f>
        <v>504.6247983957262</v>
      </c>
      <c r="H48" s="8">
        <f>'biomonitoring '!$D$20*H8</f>
        <v>485.2161523035828</v>
      </c>
      <c r="I48" s="8">
        <f>'biomonitoring '!$D$20*I8</f>
        <v>466.55399259959887</v>
      </c>
      <c r="J48" s="8">
        <f>'biomonitoring '!$D$20*J8</f>
        <v>448.60960826884514</v>
      </c>
      <c r="K48" s="8">
        <f>'biomonitoring '!$D$20*K8</f>
        <v>431.35539256619717</v>
      </c>
      <c r="L48" s="8">
        <f>'biomonitoring '!$D$20*L8</f>
        <v>414.76480054442027</v>
      </c>
      <c r="M48" s="8">
        <f>'biomonitoring '!$D$20*M8</f>
        <v>398.81230821578873</v>
      </c>
      <c r="N48" s="8">
        <f>'biomonitoring '!$D$20*N8</f>
        <v>383.47337328441233</v>
      </c>
      <c r="O48" s="8">
        <f>'biomonitoring '!$D$20*O8</f>
        <v>368.7243973888579</v>
      </c>
      <c r="P48" s="8">
        <f>'biomonitoring '!$D$20*P8</f>
        <v>354.5426897969787</v>
      </c>
      <c r="Q48" s="8">
        <f>'biomonitoring '!$D$20*Q8</f>
        <v>340.90643249709495</v>
      </c>
    </row>
    <row r="49" spans="1:17" ht="40.5">
      <c r="A49" s="24" t="s">
        <v>43</v>
      </c>
      <c r="C49" s="8">
        <f>'biomonitoring '!$D$22*C8</f>
        <v>597.9699872909127</v>
      </c>
      <c r="D49" s="8">
        <f>'biomonitoring '!$D$22*D8</f>
        <v>574.9711416258776</v>
      </c>
      <c r="E49" s="8">
        <f>'biomonitoring '!$D$22*E8</f>
        <v>552.8568669479592</v>
      </c>
      <c r="F49" s="8">
        <f>'biomonitoring '!$D$22*F8</f>
        <v>531.5931412961147</v>
      </c>
      <c r="G49" s="8">
        <f>'biomonitoring '!$D$22*G8</f>
        <v>511.14725124626403</v>
      </c>
      <c r="H49" s="8">
        <f>'biomonitoring '!$D$22*H8</f>
        <v>491.4877415829461</v>
      </c>
      <c r="I49" s="8">
        <f>'biomonitoring '!$D$22*I8</f>
        <v>472.58436690667895</v>
      </c>
      <c r="J49" s="8">
        <f>'biomonitoring '!$D$22*J8</f>
        <v>454.408045102576</v>
      </c>
      <c r="K49" s="8">
        <f>'biomonitoring '!$D$22*K8</f>
        <v>436.93081259863067</v>
      </c>
      <c r="L49" s="8">
        <f>'biomonitoring '!$D$22*L8</f>
        <v>420.1257813448371</v>
      </c>
      <c r="M49" s="8">
        <f>'biomonitoring '!$D$22*M8</f>
        <v>403.96709744695875</v>
      </c>
      <c r="N49" s="8">
        <f>'biomonitoring '!$D$22*N8</f>
        <v>388.42990139130654</v>
      </c>
      <c r="O49" s="8">
        <f>'biomonitoring '!$D$22*O8</f>
        <v>373.49028979933314</v>
      </c>
      <c r="P49" s="8">
        <f>'biomonitoring '!$D$22*P8</f>
        <v>359.12527865320493</v>
      </c>
      <c r="Q49" s="8">
        <f>'biomonitoring '!$D$22*Q8</f>
        <v>345.312767935774</v>
      </c>
    </row>
    <row r="50" spans="1:17" ht="27">
      <c r="A50" s="24" t="s">
        <v>38</v>
      </c>
      <c r="C50" s="8">
        <f>'biomonitoring '!$D$24*C8</f>
        <v>601.2995933851955</v>
      </c>
      <c r="D50" s="8">
        <f>'biomonitoring '!$D$24*D8</f>
        <v>578.1726859473033</v>
      </c>
      <c r="E50" s="8">
        <f>'biomonitoring '!$D$24*E8</f>
        <v>555.9352749493302</v>
      </c>
      <c r="F50" s="8">
        <f>'biomonitoring '!$D$24*F8</f>
        <v>534.5531489897405</v>
      </c>
      <c r="G50" s="8">
        <f>'biomonitoring '!$D$24*G8</f>
        <v>513.993412490135</v>
      </c>
      <c r="H50" s="8">
        <f>'biomonitoring '!$D$24*H8</f>
        <v>494.2244350866683</v>
      </c>
      <c r="I50" s="8">
        <f>'biomonitoring '!$D$24*I8</f>
        <v>475.21580296795025</v>
      </c>
      <c r="J50" s="8">
        <f>'biomonitoring '!$D$24*J8</f>
        <v>456.93827208456764</v>
      </c>
      <c r="K50" s="8">
        <f>'biomonitoring '!$D$24*K8</f>
        <v>439.36372315823803</v>
      </c>
      <c r="L50" s="8">
        <f>'biomonitoring '!$D$24*L8</f>
        <v>422.4651184213826</v>
      </c>
      <c r="M50" s="8">
        <f>'biomonitoring '!$D$24*M8</f>
        <v>406.21646002056025</v>
      </c>
      <c r="N50" s="8">
        <f>'biomonitoring '!$D$24*N8</f>
        <v>390.5927500197695</v>
      </c>
      <c r="O50" s="8">
        <f>'biomonitoring '!$D$24*O8</f>
        <v>375.569951942086</v>
      </c>
      <c r="P50" s="8">
        <f>'biomonitoring '!$D$24*P8</f>
        <v>361.12495379046726</v>
      </c>
      <c r="Q50" s="8">
        <f>'biomonitoring '!$D$24*Q8</f>
        <v>347.2355324908339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1" width="58.125" style="0" bestFit="1" customWidth="1"/>
  </cols>
  <sheetData>
    <row r="1" ht="13.5">
      <c r="A1" t="s">
        <v>112</v>
      </c>
    </row>
    <row r="3" ht="13.5">
      <c r="A3" s="11" t="s">
        <v>113</v>
      </c>
    </row>
    <row r="5" spans="1:2" ht="13.5">
      <c r="A5" s="11" t="s">
        <v>1</v>
      </c>
      <c r="B5" s="12">
        <v>44636.09002314815</v>
      </c>
    </row>
    <row r="6" spans="1:2" ht="13.5">
      <c r="A6" s="11" t="s">
        <v>2</v>
      </c>
      <c r="B6" s="12">
        <v>44636.73851581018</v>
      </c>
    </row>
    <row r="7" spans="1:2" ht="13.5">
      <c r="A7" s="11" t="s">
        <v>3</v>
      </c>
      <c r="B7" s="11" t="s">
        <v>4</v>
      </c>
    </row>
    <row r="9" spans="1:2" ht="13.5">
      <c r="A9" s="11" t="s">
        <v>114</v>
      </c>
      <c r="B9" s="11" t="s">
        <v>115</v>
      </c>
    </row>
    <row r="10" spans="1:2" ht="13.5">
      <c r="A10" s="11" t="s">
        <v>116</v>
      </c>
      <c r="B10" s="11" t="s">
        <v>117</v>
      </c>
    </row>
    <row r="12" spans="1:9" ht="13.5">
      <c r="A12" s="13" t="s">
        <v>9</v>
      </c>
      <c r="B12" s="13" t="s">
        <v>118</v>
      </c>
      <c r="C12" s="13" t="s">
        <v>119</v>
      </c>
      <c r="D12" s="13" t="s">
        <v>10</v>
      </c>
      <c r="E12" s="13" t="s">
        <v>11</v>
      </c>
      <c r="F12" s="13" t="s">
        <v>12</v>
      </c>
      <c r="G12" s="13" t="s">
        <v>13</v>
      </c>
      <c r="H12" s="13" t="s">
        <v>14</v>
      </c>
      <c r="I12" s="13" t="s">
        <v>120</v>
      </c>
    </row>
    <row r="13" spans="1:11" ht="13.5">
      <c r="A13" s="13" t="s">
        <v>15</v>
      </c>
      <c r="B13" s="28">
        <v>98.682</v>
      </c>
      <c r="C13" s="28">
        <v>100</v>
      </c>
      <c r="D13" s="28">
        <v>100.744</v>
      </c>
      <c r="E13" s="28">
        <v>102.074</v>
      </c>
      <c r="F13" s="28">
        <v>103.491</v>
      </c>
      <c r="G13" s="28">
        <v>105.279</v>
      </c>
      <c r="H13" s="28">
        <v>106.993</v>
      </c>
      <c r="I13" s="28">
        <v>109.543</v>
      </c>
      <c r="K13" s="29"/>
    </row>
    <row r="16" spans="1:9" ht="13.5">
      <c r="A16" s="31" t="s">
        <v>123</v>
      </c>
      <c r="B16">
        <f aca="true" t="shared" si="0" ref="B16:H16">$I$13/B13</f>
        <v>1.1100605986907441</v>
      </c>
      <c r="C16">
        <f t="shared" si="0"/>
        <v>1.0954300000000001</v>
      </c>
      <c r="D16">
        <f t="shared" si="0"/>
        <v>1.0873401889938856</v>
      </c>
      <c r="E16">
        <f t="shared" si="0"/>
        <v>1.0731724043341107</v>
      </c>
      <c r="F16">
        <f t="shared" si="0"/>
        <v>1.0584785150399552</v>
      </c>
      <c r="G16">
        <f t="shared" si="0"/>
        <v>1.0405019044633783</v>
      </c>
      <c r="H16">
        <f t="shared" si="0"/>
        <v>1.0238333348910678</v>
      </c>
      <c r="I16">
        <f>$I$13/I13</f>
        <v>1</v>
      </c>
    </row>
    <row r="18" spans="1:2" ht="13.5">
      <c r="A18" s="11"/>
      <c r="B18" s="11"/>
    </row>
    <row r="22" spans="1:2" ht="13.5">
      <c r="A22" s="29"/>
      <c r="B2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2023-05-10T18:05:14Z</dcterms:created>
  <dcterms:modified xsi:type="dcterms:W3CDTF">2023-09-11T13:58:45Z</dcterms:modified>
  <cp:category/>
  <cp:version/>
  <cp:contentType/>
  <cp:contentStatus/>
</cp:coreProperties>
</file>